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84" firstSheet="1" activeTab="2"/>
  </bookViews>
  <sheets>
    <sheet name="調薪俸點" sheetId="1" state="hidden" r:id="rId1"/>
    <sheet name="約聘僱" sheetId="2" r:id="rId2"/>
    <sheet name="約聘綜合社工" sheetId="3" r:id="rId3"/>
    <sheet name="臨時人員" sheetId="4" r:id="rId4"/>
    <sheet name="113約聘僱及臨時人員 " sheetId="5" r:id="rId5"/>
    <sheet name="113約聘僱-一般性社工 " sheetId="6" r:id="rId6"/>
    <sheet name="113約聘僱-保護性社工 " sheetId="7" r:id="rId7"/>
    <sheet name="勞健保保費對照表 (本國人)" sheetId="8" r:id="rId8"/>
  </sheets>
  <definedNames>
    <definedName name="_xlfn.SINGLE" hidden="1">#NAME?</definedName>
    <definedName name="_xlnm.Print_Area" localSheetId="4">'113約聘僱及臨時人員 '!$A$1:$K$35</definedName>
    <definedName name="_xlnm.Print_Area" localSheetId="1">'約聘僱'!$B$1:$AE$32</definedName>
    <definedName name="_xlnm.Print_Area" localSheetId="2">'約聘綜合社工'!$B$1:$AH$43</definedName>
    <definedName name="_xlnm.Print_Area" localSheetId="3">'臨時人員'!$A$1:$AA$15</definedName>
    <definedName name="_xlnm.Print_Titles" localSheetId="7">'勞健保保費對照表 (本國人)'!$1:$1</definedName>
    <definedName name="Z_1D80F1DE_40F9_4C13_BF2B_42DE4599715F_.wvu.Cols" localSheetId="1" hidden="1">'約聘僱'!$A:$A</definedName>
    <definedName name="Z_1D80F1DE_40F9_4C13_BF2B_42DE4599715F_.wvu.Cols" localSheetId="2" hidden="1">'約聘綜合社工'!$A:$A</definedName>
    <definedName name="Z_1D80F1DE_40F9_4C13_BF2B_42DE4599715F_.wvu.FilterData" localSheetId="1" hidden="1">'約聘僱'!$A$5:$AH$31</definedName>
    <definedName name="Z_1D80F1DE_40F9_4C13_BF2B_42DE4599715F_.wvu.FilterData" localSheetId="2" hidden="1">'約聘綜合社工'!$A$5:$AK$42</definedName>
    <definedName name="Z_1D80F1DE_40F9_4C13_BF2B_42DE4599715F_.wvu.FilterData" localSheetId="3" hidden="1">'臨時人員'!$A$5:$AD$14</definedName>
    <definedName name="Z_1D80F1DE_40F9_4C13_BF2B_42DE4599715F_.wvu.PrintArea" localSheetId="1" hidden="1">'約聘僱'!$B$1:$AE$32</definedName>
    <definedName name="Z_1D80F1DE_40F9_4C13_BF2B_42DE4599715F_.wvu.PrintArea" localSheetId="2" hidden="1">'約聘綜合社工'!$B$1:$AH$43</definedName>
    <definedName name="Z_1D80F1DE_40F9_4C13_BF2B_42DE4599715F_.wvu.PrintArea" localSheetId="3" hidden="1">'臨時人員'!$A$1:$AA$15</definedName>
    <definedName name="Z_2B899C88_1A9C_4124_93CA_F261777310C6_.wvu.Cols" localSheetId="1" hidden="1">'約聘僱'!$A:$A</definedName>
    <definedName name="Z_2B899C88_1A9C_4124_93CA_F261777310C6_.wvu.Cols" localSheetId="2" hidden="1">'約聘綜合社工'!$A:$A</definedName>
    <definedName name="Z_2B899C88_1A9C_4124_93CA_F261777310C6_.wvu.FilterData" localSheetId="1" hidden="1">'約聘僱'!$A$5:$AH$31</definedName>
    <definedName name="Z_2B899C88_1A9C_4124_93CA_F261777310C6_.wvu.FilterData" localSheetId="2" hidden="1">'約聘綜合社工'!$A$5:$AK$42</definedName>
    <definedName name="Z_2B899C88_1A9C_4124_93CA_F261777310C6_.wvu.FilterData" localSheetId="3" hidden="1">'臨時人員'!$A$5:$AD$14</definedName>
    <definedName name="Z_2B899C88_1A9C_4124_93CA_F261777310C6_.wvu.PrintArea" localSheetId="1" hidden="1">'約聘僱'!$B$1:$AE$32</definedName>
    <definedName name="Z_2B899C88_1A9C_4124_93CA_F261777310C6_.wvu.PrintArea" localSheetId="2" hidden="1">'約聘綜合社工'!$B$1:$AH$43</definedName>
    <definedName name="Z_2B899C88_1A9C_4124_93CA_F261777310C6_.wvu.PrintArea" localSheetId="3" hidden="1">'臨時人員'!$A$1:$AA$15</definedName>
    <definedName name="Z_363B6AE2_999B_4D76_9A12_D12DB8C02CFE_.wvu.Cols" localSheetId="1" hidden="1">'約聘僱'!$A:$A</definedName>
    <definedName name="Z_363B6AE2_999B_4D76_9A12_D12DB8C02CFE_.wvu.Cols" localSheetId="2" hidden="1">'約聘綜合社工'!$A:$A</definedName>
    <definedName name="Z_363B6AE2_999B_4D76_9A12_D12DB8C02CFE_.wvu.FilterData" localSheetId="1" hidden="1">'約聘僱'!$A$5:$AH$31</definedName>
    <definedName name="Z_363B6AE2_999B_4D76_9A12_D12DB8C02CFE_.wvu.FilterData" localSheetId="2" hidden="1">'約聘綜合社工'!$A$5:$AK$42</definedName>
    <definedName name="Z_363B6AE2_999B_4D76_9A12_D12DB8C02CFE_.wvu.FilterData" localSheetId="3" hidden="1">'臨時人員'!$A$5:$AD$14</definedName>
    <definedName name="Z_363B6AE2_999B_4D76_9A12_D12DB8C02CFE_.wvu.PrintArea" localSheetId="1" hidden="1">'約聘僱'!$B$1:$AE$32</definedName>
    <definedName name="Z_363B6AE2_999B_4D76_9A12_D12DB8C02CFE_.wvu.PrintArea" localSheetId="2" hidden="1">'約聘綜合社工'!$B$1:$AH$43</definedName>
    <definedName name="Z_363B6AE2_999B_4D76_9A12_D12DB8C02CFE_.wvu.PrintArea" localSheetId="3" hidden="1">'臨時人員'!$A$1:$AA$15</definedName>
    <definedName name="Z_3C3E710A_F23D_4E2A_9973_AE7DB8B13CD4_.wvu.Cols" localSheetId="1" hidden="1">'約聘僱'!$A:$A</definedName>
    <definedName name="Z_3C3E710A_F23D_4E2A_9973_AE7DB8B13CD4_.wvu.Cols" localSheetId="2" hidden="1">'約聘綜合社工'!$A:$A</definedName>
    <definedName name="Z_3C3E710A_F23D_4E2A_9973_AE7DB8B13CD4_.wvu.FilterData" localSheetId="1" hidden="1">'約聘僱'!$A$5:$AH$31</definedName>
    <definedName name="Z_3C3E710A_F23D_4E2A_9973_AE7DB8B13CD4_.wvu.FilterData" localSheetId="2" hidden="1">'約聘綜合社工'!$A$5:$AK$42</definedName>
    <definedName name="Z_3C3E710A_F23D_4E2A_9973_AE7DB8B13CD4_.wvu.FilterData" localSheetId="3" hidden="1">'臨時人員'!$A$5:$AD$14</definedName>
    <definedName name="Z_3C3E710A_F23D_4E2A_9973_AE7DB8B13CD4_.wvu.PrintArea" localSheetId="1" hidden="1">'約聘僱'!$B$1:$AE$32</definedName>
    <definedName name="Z_3C3E710A_F23D_4E2A_9973_AE7DB8B13CD4_.wvu.PrintArea" localSheetId="2" hidden="1">'約聘綜合社工'!$B$1:$AH$43</definedName>
    <definedName name="Z_3C3E710A_F23D_4E2A_9973_AE7DB8B13CD4_.wvu.PrintArea" localSheetId="3" hidden="1">'臨時人員'!$A$1:$AA$15</definedName>
    <definedName name="Z_BB82845B_337A_43CE_AB6D_8EF1D8A60441_.wvu.Cols" localSheetId="1" hidden="1">'約聘僱'!$A:$A</definedName>
    <definedName name="Z_BB82845B_337A_43CE_AB6D_8EF1D8A60441_.wvu.FilterData" localSheetId="1" hidden="1">'約聘僱'!$A$5:$AH$31</definedName>
    <definedName name="Z_BB82845B_337A_43CE_AB6D_8EF1D8A60441_.wvu.FilterData" localSheetId="2" hidden="1">'約聘綜合社工'!$A$5:$AK$42</definedName>
    <definedName name="Z_BB82845B_337A_43CE_AB6D_8EF1D8A60441_.wvu.FilterData" localSheetId="3" hidden="1">'臨時人員'!$A$5:$AD$14</definedName>
    <definedName name="Z_BB82845B_337A_43CE_AB6D_8EF1D8A60441_.wvu.PrintArea" localSheetId="1" hidden="1">'約聘僱'!$B$1:$AE$32</definedName>
    <definedName name="Z_BB82845B_337A_43CE_AB6D_8EF1D8A60441_.wvu.PrintArea" localSheetId="2" hidden="1">'約聘綜合社工'!$B$1:$AH$43</definedName>
    <definedName name="Z_BB82845B_337A_43CE_AB6D_8EF1D8A60441_.wvu.PrintArea" localSheetId="3" hidden="1">'臨時人員'!$A$1:$AA$15</definedName>
    <definedName name="Z_BB82845B_337A_43CE_AB6D_8EF1D8A60441_.wvu.Rows" localSheetId="2" hidden="1">'約聘綜合社工'!#REF!</definedName>
    <definedName name="Z_C283D252_9AAF_4C51_B25F_B8F201C98A7D_.wvu.Cols" localSheetId="1" hidden="1">'約聘僱'!$A:$A</definedName>
    <definedName name="Z_C283D252_9AAF_4C51_B25F_B8F201C98A7D_.wvu.Cols" localSheetId="2" hidden="1">'約聘綜合社工'!$A:$A</definedName>
    <definedName name="Z_C283D252_9AAF_4C51_B25F_B8F201C98A7D_.wvu.FilterData" localSheetId="1" hidden="1">'約聘僱'!$A$5:$AH$31</definedName>
    <definedName name="Z_C283D252_9AAF_4C51_B25F_B8F201C98A7D_.wvu.FilterData" localSheetId="2" hidden="1">'約聘綜合社工'!$A$5:$AK$42</definedName>
    <definedName name="Z_C283D252_9AAF_4C51_B25F_B8F201C98A7D_.wvu.FilterData" localSheetId="3" hidden="1">'臨時人員'!$A$5:$AD$14</definedName>
    <definedName name="Z_C283D252_9AAF_4C51_B25F_B8F201C98A7D_.wvu.PrintArea" localSheetId="1" hidden="1">'約聘僱'!$B$1:$AE$32</definedName>
    <definedName name="Z_C283D252_9AAF_4C51_B25F_B8F201C98A7D_.wvu.PrintArea" localSheetId="2" hidden="1">'約聘綜合社工'!$B$1:$AH$43</definedName>
    <definedName name="Z_C283D252_9AAF_4C51_B25F_B8F201C98A7D_.wvu.PrintArea" localSheetId="3" hidden="1">'臨時人員'!$A$1:$AA$15</definedName>
    <definedName name="Z_FFDD7739_E286_4AFF_88D0_4A3422446D3B_.wvu.Cols" localSheetId="1" hidden="1">'約聘僱'!$A:$A</definedName>
    <definedName name="Z_FFDD7739_E286_4AFF_88D0_4A3422446D3B_.wvu.Cols" localSheetId="2" hidden="1">'約聘綜合社工'!$A:$A</definedName>
    <definedName name="Z_FFDD7739_E286_4AFF_88D0_4A3422446D3B_.wvu.FilterData" localSheetId="1" hidden="1">'約聘僱'!$A$5:$AH$31</definedName>
    <definedName name="Z_FFDD7739_E286_4AFF_88D0_4A3422446D3B_.wvu.FilterData" localSheetId="2" hidden="1">'約聘綜合社工'!$A$5:$AK$42</definedName>
    <definedName name="Z_FFDD7739_E286_4AFF_88D0_4A3422446D3B_.wvu.FilterData" localSheetId="3" hidden="1">'臨時人員'!$A$5:$AD$14</definedName>
    <definedName name="Z_FFDD7739_E286_4AFF_88D0_4A3422446D3B_.wvu.PrintArea" localSheetId="1" hidden="1">'約聘僱'!$B$1:$AE$32</definedName>
    <definedName name="Z_FFDD7739_E286_4AFF_88D0_4A3422446D3B_.wvu.PrintArea" localSheetId="2" hidden="1">'約聘綜合社工'!$B$1:$AH$43</definedName>
    <definedName name="Z_FFDD7739_E286_4AFF_88D0_4A3422446D3B_.wvu.PrintArea" localSheetId="3" hidden="1">'臨時人員'!$A$1:$AA$15</definedName>
    <definedName name="一般">'113約聘僱及臨時人員 '!$A$4:$K$27</definedName>
    <definedName name="一般性社工">'113約聘僱-一般性社工 '!$A$4:$K$24</definedName>
    <definedName name="二代健保費率">'勞健保保費對照表 (本國人)'!$O$2</definedName>
    <definedName name="上限級距">'勞健保保費對照表 (本國人)'!$B$16</definedName>
    <definedName name="上限級數">'勞健保保費對照表 (本國人)'!$A$16</definedName>
    <definedName name="工資墊償費率">'勞健保保費對照表 (本國人)'!$O$4</definedName>
    <definedName name="工墊費率">'勞健保保費對照表 (本國人)'!$O$4</definedName>
    <definedName name="日資">'113約聘僱及臨時人員 '!$A$31:$K$31</definedName>
    <definedName name="月酬">'113約聘僱及臨時人員 '!$B$35:$K$40</definedName>
    <definedName name="保護性社工">'113約聘僱-保護性社工 '!$A$4:$K$23</definedName>
    <definedName name="級數表">'勞健保保費對照表 (本國人)'!$A$4:$H$53</definedName>
    <definedName name="對照表">'勞健保保費對照表 (本國人)'!$B$4:$I$53</definedName>
    <definedName name="職災費率">'勞健保保費對照表 (本國人)'!$O$3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12"/>
            <rFont val="新細明體"/>
            <family val="1"/>
          </rPr>
          <t>備註</t>
        </r>
        <r>
          <rPr>
            <b/>
            <sz val="12"/>
            <rFont val="Tahoma"/>
            <family val="2"/>
          </rPr>
          <t>:
1.</t>
        </r>
        <r>
          <rPr>
            <b/>
            <sz val="12"/>
            <rFont val="新細明體"/>
            <family val="1"/>
          </rPr>
          <t>按月計薪臨時人員月酬</t>
        </r>
        <r>
          <rPr>
            <b/>
            <sz val="12"/>
            <rFont val="Tahoma"/>
            <family val="2"/>
          </rPr>
          <t>(C</t>
        </r>
        <r>
          <rPr>
            <b/>
            <sz val="12"/>
            <rFont val="新細明體"/>
            <family val="1"/>
          </rPr>
          <t>欄</t>
        </r>
        <r>
          <rPr>
            <b/>
            <sz val="12"/>
            <rFont val="Tahoma"/>
            <family val="2"/>
          </rPr>
          <t>)</t>
        </r>
        <r>
          <rPr>
            <b/>
            <sz val="12"/>
            <rFont val="新細明體"/>
            <family val="1"/>
          </rPr>
          <t xml:space="preserve">，請自行依給付月薪登打。
2.並請至工作表"113約聘僱及臨時人員"-"按月計薪臨時人員勞健保費及提撥勞工退休金標準表"-月酬(B欄 )同步登打，以利編列標準更新計算。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35" authorId="0">
      <text>
        <r>
          <rPr>
            <b/>
            <sz val="12"/>
            <rFont val="標楷體"/>
            <family val="4"/>
          </rPr>
          <t>請自行依給付
月薪登打計算</t>
        </r>
      </text>
    </comment>
  </commentList>
</comments>
</file>

<file path=xl/sharedStrings.xml><?xml version="1.0" encoding="utf-8"?>
<sst xmlns="http://schemas.openxmlformats.org/spreadsheetml/2006/main" count="365" uniqueCount="180">
  <si>
    <t>俸點</t>
  </si>
  <si>
    <t>單位：元</t>
  </si>
  <si>
    <t>勞保費
/月</t>
  </si>
  <si>
    <t>健保費
/月</t>
  </si>
  <si>
    <t>保險費
合計</t>
  </si>
  <si>
    <t>健保費
小計</t>
  </si>
  <si>
    <t>日資</t>
  </si>
  <si>
    <t>月酬
（25天計）</t>
  </si>
  <si>
    <t>勞保投保級距</t>
  </si>
  <si>
    <t>健保投保級距</t>
  </si>
  <si>
    <t>普通事故費率</t>
  </si>
  <si>
    <t>級數</t>
  </si>
  <si>
    <t>月酬</t>
  </si>
  <si>
    <t>二代
健保費
/月</t>
  </si>
  <si>
    <t>勞工
退休金
/月</t>
  </si>
  <si>
    <t>按日計資臨時人員酬金、勞健保費及提撥勞工退休金標準表</t>
  </si>
  <si>
    <t>約聘（僱）人員月俸、勞健保費及離職儲金標準表</t>
  </si>
  <si>
    <t>健保補充保險費費率</t>
  </si>
  <si>
    <t>工資墊償費率</t>
  </si>
  <si>
    <r>
      <t>勞工保險</t>
    </r>
    <r>
      <rPr>
        <sz val="12"/>
        <rFont val="細明體"/>
        <family val="3"/>
      </rPr>
      <t>職業災害保險費率</t>
    </r>
  </si>
  <si>
    <t>投保級距</t>
  </si>
  <si>
    <t>勞保費</t>
  </si>
  <si>
    <t>健保費</t>
  </si>
  <si>
    <t>合計</t>
  </si>
  <si>
    <t>備註</t>
  </si>
  <si>
    <t>本人負擔</t>
  </si>
  <si>
    <t>單位負擔</t>
  </si>
  <si>
    <t>就業保險費率</t>
  </si>
  <si>
    <t>健保本人費率</t>
  </si>
  <si>
    <t>健保費率</t>
  </si>
  <si>
    <t>說明</t>
  </si>
  <si>
    <t>1.本表適用對象為一般本國人，公、民營事業、機構及有一定雇主之受雇者。</t>
  </si>
  <si>
    <t>2.本表所列保費係以月為計算單位，新加保者自加保日起，按日計收勞保費；健保費則按月計收保費。</t>
  </si>
  <si>
    <t>3.月支薪資金額介於兩投保級距間，以較高級數之投保級距，為適用級距。</t>
  </si>
  <si>
    <t>4.本表不含職災保險費與工資墊償基金提繳。職災保險費率因行業別而有不同，全額由投保單位負擔。如屬勞委會公告之適用範圍，工資墊償基金依勞工保險投保薪資總額提繳0.025%，亦由投保單位全額負擔。</t>
  </si>
  <si>
    <t>約聘（僱）人員--保護性社工月俸、勞健保費及離職儲金標準表</t>
  </si>
  <si>
    <r>
      <t xml:space="preserve">健保費
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月</t>
    </r>
  </si>
  <si>
    <t>約聘（僱）人員--一般性社工月俸、勞健保費及離職儲金標準表</t>
  </si>
  <si>
    <r>
      <t>純縣庫負擔約聘僱人員</t>
    </r>
    <r>
      <rPr>
        <u val="single"/>
        <sz val="18"/>
        <color indexed="10"/>
        <rFont val="標楷體"/>
        <family val="4"/>
      </rPr>
      <t>(請分別依工作計畫填寫</t>
    </r>
    <r>
      <rPr>
        <u val="single"/>
        <sz val="18"/>
        <rFont val="標楷體"/>
        <family val="4"/>
      </rPr>
      <t>)</t>
    </r>
  </si>
  <si>
    <t>機關名稱或本府各單位：</t>
  </si>
  <si>
    <t>業務計畫：</t>
  </si>
  <si>
    <t>工作計畫：</t>
  </si>
  <si>
    <t>俸</t>
  </si>
  <si>
    <t>俸折</t>
  </si>
  <si>
    <r>
      <t xml:space="preserve">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</si>
  <si>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)
(9)=(5)+(6)+(7)+(8)</t>
    </r>
  </si>
  <si>
    <t>備註</t>
  </si>
  <si>
    <t xml:space="preserve">  合</t>
  </si>
  <si>
    <r>
      <t>本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俸</t>
    </r>
  </si>
  <si>
    <t>離職儲金</t>
  </si>
  <si>
    <t>保險費</t>
  </si>
  <si>
    <t>月小計</t>
  </si>
  <si>
    <t>年合計</t>
  </si>
  <si>
    <t>年終工作獎金</t>
  </si>
  <si>
    <t>休假補助</t>
  </si>
  <si>
    <t>休慰勞假補助費</t>
  </si>
  <si>
    <t>點</t>
  </si>
  <si>
    <t>點率</t>
  </si>
  <si>
    <t>編列標準</t>
  </si>
  <si>
    <t>人數</t>
  </si>
  <si>
    <r>
      <t>小計</t>
    </r>
    <r>
      <rPr>
        <sz val="8"/>
        <rFont val="Times New Roman"/>
        <family val="1"/>
      </rPr>
      <t>(1)</t>
    </r>
  </si>
  <si>
    <r>
      <t>小計</t>
    </r>
    <r>
      <rPr>
        <sz val="8"/>
        <rFont val="Times New Roman"/>
        <family val="1"/>
      </rPr>
      <t>(2)</t>
    </r>
  </si>
  <si>
    <t>健保標準</t>
  </si>
  <si>
    <t>補充
健保</t>
  </si>
  <si>
    <t>健保標準
小計</t>
  </si>
  <si>
    <t>健保小計</t>
  </si>
  <si>
    <t>勞保標準</t>
  </si>
  <si>
    <t>勞保小計</t>
  </si>
  <si>
    <r>
      <t xml:space="preserve">保險總小計
</t>
    </r>
    <r>
      <rPr>
        <sz val="8"/>
        <rFont val="Times New Roman"/>
        <family val="1"/>
      </rPr>
      <t>(3)</t>
    </r>
  </si>
  <si>
    <t>(4)=(1)+(2)+(3)</t>
  </si>
  <si>
    <t>(5)=(4)*12</t>
  </si>
  <si>
    <t>編列編準</t>
  </si>
  <si>
    <r>
      <t xml:space="preserve">小計
</t>
    </r>
    <r>
      <rPr>
        <sz val="11"/>
        <rFont val="Times New Roman"/>
        <family val="1"/>
      </rPr>
      <t>(6)</t>
    </r>
  </si>
  <si>
    <r>
      <t>小計</t>
    </r>
    <r>
      <rPr>
        <sz val="11"/>
        <rFont val="Times New Roman"/>
        <family val="1"/>
      </rPr>
      <t>(7)</t>
    </r>
  </si>
  <si>
    <t>天數</t>
  </si>
  <si>
    <r>
      <t>小計</t>
    </r>
    <r>
      <rPr>
        <sz val="11"/>
        <rFont val="Times New Roman"/>
        <family val="1"/>
      </rPr>
      <t>(8)</t>
    </r>
  </si>
  <si>
    <t>月小計</t>
  </si>
  <si>
    <t>×</t>
  </si>
  <si>
    <r>
      <t>總計</t>
    </r>
    <r>
      <rPr>
        <sz val="14"/>
        <rFont val="Times New Roman"/>
        <family val="1"/>
      </rPr>
      <t>(</t>
    </r>
    <r>
      <rPr>
        <sz val="14"/>
        <rFont val="華康新儷粗黑"/>
        <family val="1"/>
      </rPr>
      <t>年</t>
    </r>
    <r>
      <rPr>
        <sz val="14"/>
        <rFont val="Times New Roman"/>
        <family val="1"/>
      </rPr>
      <t>)</t>
    </r>
  </si>
  <si>
    <t>年小計</t>
  </si>
  <si>
    <t>製表人：</t>
  </si>
  <si>
    <t xml:space="preserve">      科(股)長或主辦會計：</t>
  </si>
  <si>
    <t>機關長官或單位主管：</t>
  </si>
  <si>
    <t>約聘綜合社工、約僱家庭暴力防治中心行政人員</t>
  </si>
  <si>
    <t>機關名稱或本府各單位：</t>
  </si>
  <si>
    <t>業務計畫：</t>
  </si>
  <si>
    <t>工作計畫：</t>
  </si>
  <si>
    <t>俸</t>
  </si>
  <si>
    <t>俸折</t>
  </si>
  <si>
    <r>
      <t xml:space="preserve">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</si>
  <si>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)
(10)=(6)+(7)+(8)+(9)</t>
    </r>
  </si>
  <si>
    <t>備註</t>
  </si>
  <si>
    <t xml:space="preserve">  合</t>
  </si>
  <si>
    <r>
      <t>本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俸</t>
    </r>
  </si>
  <si>
    <t>離職儲金</t>
  </si>
  <si>
    <t>保險費</t>
  </si>
  <si>
    <t>風險工作費</t>
  </si>
  <si>
    <t>月小計</t>
  </si>
  <si>
    <t>年合計</t>
  </si>
  <si>
    <t>休假補助</t>
  </si>
  <si>
    <t>休慰勞假補助費</t>
  </si>
  <si>
    <t>點</t>
  </si>
  <si>
    <t>點率</t>
  </si>
  <si>
    <t>編列標準</t>
  </si>
  <si>
    <t>人數</t>
  </si>
  <si>
    <r>
      <t>小計</t>
    </r>
    <r>
      <rPr>
        <sz val="8"/>
        <rFont val="Times New Roman"/>
        <family val="1"/>
      </rPr>
      <t>(1)</t>
    </r>
  </si>
  <si>
    <r>
      <t>小計</t>
    </r>
    <r>
      <rPr>
        <sz val="8"/>
        <rFont val="Times New Roman"/>
        <family val="1"/>
      </rPr>
      <t>(2)</t>
    </r>
  </si>
  <si>
    <t>健保標準</t>
  </si>
  <si>
    <t>補充
健保</t>
  </si>
  <si>
    <t>健保標準
小計</t>
  </si>
  <si>
    <t>健保小計</t>
  </si>
  <si>
    <t>勞保標準</t>
  </si>
  <si>
    <t>勞保小計</t>
  </si>
  <si>
    <r>
      <t xml:space="preserve">保險總小計
</t>
    </r>
    <r>
      <rPr>
        <sz val="8"/>
        <rFont val="Times New Roman"/>
        <family val="1"/>
      </rPr>
      <t>(3)</t>
    </r>
  </si>
  <si>
    <t>金額</t>
  </si>
  <si>
    <t>小計(4)</t>
  </si>
  <si>
    <t>(5)=(1)+(2)+(3)+(4)</t>
  </si>
  <si>
    <t>(6)=(5)*12</t>
  </si>
  <si>
    <t>編列編準</t>
  </si>
  <si>
    <r>
      <t>小計</t>
    </r>
    <r>
      <rPr>
        <sz val="11"/>
        <rFont val="Times New Roman"/>
        <family val="1"/>
      </rPr>
      <t>(7)</t>
    </r>
  </si>
  <si>
    <r>
      <t>小計</t>
    </r>
    <r>
      <rPr>
        <sz val="11"/>
        <rFont val="Times New Roman"/>
        <family val="1"/>
      </rPr>
      <t>(8)</t>
    </r>
  </si>
  <si>
    <t>天數</t>
  </si>
  <si>
    <r>
      <t>小計</t>
    </r>
    <r>
      <rPr>
        <sz val="11"/>
        <rFont val="Times New Roman"/>
        <family val="1"/>
      </rPr>
      <t>(9)</t>
    </r>
  </si>
  <si>
    <t>一般</t>
  </si>
  <si>
    <t>一般</t>
  </si>
  <si>
    <t>保護</t>
  </si>
  <si>
    <r>
      <t>純縣庫負擔臨時人員</t>
    </r>
    <r>
      <rPr>
        <u val="single"/>
        <sz val="18"/>
        <color indexed="10"/>
        <rFont val="新細明體"/>
        <family val="1"/>
      </rPr>
      <t>(請分別依工作計畫填寫</t>
    </r>
    <r>
      <rPr>
        <u val="single"/>
        <sz val="18"/>
        <rFont val="新細明體"/>
        <family val="1"/>
      </rPr>
      <t>)</t>
    </r>
  </si>
  <si>
    <t>機關名稱或本府各單位：</t>
  </si>
  <si>
    <t>業務計畫：</t>
  </si>
  <si>
    <t>工作計畫：</t>
  </si>
  <si>
    <r>
      <t xml:space="preserve">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</si>
  <si>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)
(8)=(5)+(6)+(7)</t>
    </r>
  </si>
  <si>
    <t>備註</t>
  </si>
  <si>
    <t>酬金</t>
  </si>
  <si>
    <t>勞工退休金</t>
  </si>
  <si>
    <t>保險費</t>
  </si>
  <si>
    <t>年合計</t>
  </si>
  <si>
    <t>未休假工資</t>
  </si>
  <si>
    <t>日資</t>
  </si>
  <si>
    <t>月酬</t>
  </si>
  <si>
    <t>人數</t>
  </si>
  <si>
    <r>
      <t>小計</t>
    </r>
    <r>
      <rPr>
        <sz val="8"/>
        <rFont val="Times New Roman"/>
        <family val="1"/>
      </rPr>
      <t>(1)</t>
    </r>
  </si>
  <si>
    <t>編列標準</t>
  </si>
  <si>
    <r>
      <t>小計</t>
    </r>
    <r>
      <rPr>
        <sz val="8"/>
        <rFont val="Times New Roman"/>
        <family val="1"/>
      </rPr>
      <t>(2)</t>
    </r>
  </si>
  <si>
    <t>健保標準</t>
  </si>
  <si>
    <t>補充
健保</t>
  </si>
  <si>
    <t>健保標準
小計</t>
  </si>
  <si>
    <t>健保小計</t>
  </si>
  <si>
    <t>勞保標準</t>
  </si>
  <si>
    <t>勞保小計</t>
  </si>
  <si>
    <r>
      <t xml:space="preserve">保險總小計
</t>
    </r>
    <r>
      <rPr>
        <sz val="8"/>
        <rFont val="Times New Roman"/>
        <family val="1"/>
      </rPr>
      <t>(3)</t>
    </r>
  </si>
  <si>
    <t>(4)=(1)+(2)+(3)</t>
  </si>
  <si>
    <t>(5)=(4)*12</t>
  </si>
  <si>
    <t>編列編準</t>
  </si>
  <si>
    <r>
      <t>小計</t>
    </r>
    <r>
      <rPr>
        <sz val="11"/>
        <rFont val="Times New Roman"/>
        <family val="1"/>
      </rPr>
      <t>(6)</t>
    </r>
  </si>
  <si>
    <r>
      <t>小計</t>
    </r>
    <r>
      <rPr>
        <sz val="11"/>
        <rFont val="Times New Roman"/>
        <family val="1"/>
      </rPr>
      <t>(7)</t>
    </r>
  </si>
  <si>
    <t>按日計資</t>
  </si>
  <si>
    <t>按月計薪</t>
  </si>
  <si>
    <r>
      <t>勞健保保費對照表</t>
    </r>
    <r>
      <rPr>
        <sz val="16"/>
        <color indexed="48"/>
        <rFont val="新細明體"/>
        <family val="1"/>
      </rPr>
      <t xml:space="preserve"> (</t>
    </r>
    <r>
      <rPr>
        <sz val="12"/>
        <color indexed="48"/>
        <rFont val="新細明體"/>
        <family val="1"/>
      </rPr>
      <t>適用對象：一般本國人</t>
    </r>
    <r>
      <rPr>
        <sz val="16"/>
        <color indexed="48"/>
        <rFont val="新細明體"/>
        <family val="1"/>
      </rPr>
      <t>)  112年1月1日起適用</t>
    </r>
  </si>
  <si>
    <t>參見說明7、8、9</t>
  </si>
  <si>
    <t>5.自105年5月1日起，勞保投保級距上限調高為45,800元。</t>
  </si>
  <si>
    <t>6.自111年7月1日起，健保投保金額最高一級調整為219,500元。</t>
  </si>
  <si>
    <t>7.自112年1月1日起，健保調降投保單位負擔及政府補助金額含本人及平均眷屬人數為0.57人，合計1.57人。</t>
  </si>
  <si>
    <t>8.自112年1月1日起，基本工資調整為26,400元。</t>
  </si>
  <si>
    <t>9.勞保普通事故保險費率調整為11%，就業保險費率1%；但雇主本人無需就業保險，勞保費率會少1%，另有他表可查。</t>
  </si>
  <si>
    <t>113年度約聘（僱）及臨時人員薪資及保險費標準</t>
  </si>
  <si>
    <r>
      <t>月俸
（</t>
    </r>
    <r>
      <rPr>
        <sz val="12"/>
        <color indexed="10"/>
        <rFont val="標楷體"/>
        <family val="4"/>
      </rPr>
      <t>134.9</t>
    </r>
    <r>
      <rPr>
        <sz val="12"/>
        <rFont val="標楷體"/>
        <family val="4"/>
      </rPr>
      <t>/點）</t>
    </r>
  </si>
  <si>
    <t>按月計薪臨時人員勞健保費及提撥勞工退休金標準表</t>
  </si>
  <si>
    <r>
      <t>113年度約聘（僱）--</t>
    </r>
    <r>
      <rPr>
        <b/>
        <sz val="16"/>
        <color indexed="10"/>
        <rFont val="新細明體"/>
        <family val="1"/>
      </rPr>
      <t>一般性社工</t>
    </r>
    <r>
      <rPr>
        <b/>
        <sz val="16"/>
        <rFont val="新細明體"/>
        <family val="1"/>
      </rPr>
      <t>薪資及保險費標準</t>
    </r>
  </si>
  <si>
    <r>
      <t>月俸
（</t>
    </r>
    <r>
      <rPr>
        <b/>
        <sz val="12"/>
        <color indexed="10"/>
        <rFont val="Times New Roman"/>
        <family val="1"/>
      </rPr>
      <t>140.4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點）</t>
    </r>
  </si>
  <si>
    <r>
      <t>113年度約聘（僱）--保護性</t>
    </r>
    <r>
      <rPr>
        <b/>
        <sz val="16"/>
        <color indexed="10"/>
        <rFont val="新細明體"/>
        <family val="1"/>
      </rPr>
      <t>社工</t>
    </r>
    <r>
      <rPr>
        <b/>
        <sz val="16"/>
        <rFont val="新細明體"/>
        <family val="1"/>
      </rPr>
      <t>薪資及保險費標準</t>
    </r>
  </si>
  <si>
    <r>
      <t>月俸
（</t>
    </r>
    <r>
      <rPr>
        <b/>
        <sz val="12"/>
        <color indexed="10"/>
        <rFont val="Times New Roman"/>
        <family val="1"/>
      </rPr>
      <t>144.1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點）</t>
    </r>
  </si>
  <si>
    <t>一般</t>
  </si>
  <si>
    <t>保護</t>
  </si>
  <si>
    <t>調薪比率</t>
  </si>
  <si>
    <t>調整後俸點</t>
  </si>
  <si>
    <t>一般約聘雇</t>
  </si>
  <si>
    <t>一般性社工</t>
  </si>
  <si>
    <t>保護姓社工</t>
  </si>
  <si>
    <t>基本工資/時薪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</si>
</sst>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[Red]\-#,##0\ "/>
    <numFmt numFmtId="181" formatCode="#,##0_ "/>
    <numFmt numFmtId="182" formatCode="#,##0.0_);[Red]\(#,##0.0\)"/>
    <numFmt numFmtId="183" formatCode="0_ "/>
    <numFmt numFmtId="184" formatCode="0.00_ "/>
    <numFmt numFmtId="185" formatCode="0.000%"/>
    <numFmt numFmtId="186" formatCode="0.0_ "/>
    <numFmt numFmtId="187" formatCode="_-* #,##0.0_-;\-* #,##0.0_-;_-* &quot;-&quot;??_-;_-@_-"/>
    <numFmt numFmtId="188" formatCode="_-* #,##0_-;\-* #,##0_-;_-* &quot;-&quot;??_-;_-@_-"/>
    <numFmt numFmtId="189" formatCode="_-* #,##0.0000_-;\-* #,##0.0000_-;_-* &quot;-&quot;????_-;_-@_-"/>
    <numFmt numFmtId="190" formatCode="#,##0.0_ ;[Red]\-#,##0.0\ "/>
    <numFmt numFmtId="191" formatCode="#,##0.00_ ;[Red]\-#,##0.00\ "/>
    <numFmt numFmtId="192" formatCode="0.0"/>
  </numFmts>
  <fonts count="85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b/>
      <sz val="16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4"/>
      <name val="標楷體"/>
      <family val="4"/>
    </font>
    <font>
      <b/>
      <sz val="12"/>
      <name val="新細明體"/>
      <family val="1"/>
    </font>
    <font>
      <b/>
      <sz val="14"/>
      <name val="Times New Roman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6"/>
      <color indexed="48"/>
      <name val="新細明體"/>
      <family val="1"/>
    </font>
    <font>
      <sz val="12"/>
      <color indexed="48"/>
      <name val="新細明體"/>
      <family val="1"/>
    </font>
    <font>
      <sz val="16"/>
      <color indexed="10"/>
      <name val="新細明體"/>
      <family val="1"/>
    </font>
    <font>
      <sz val="12"/>
      <color indexed="9"/>
      <name val="細明體"/>
      <family val="3"/>
    </font>
    <font>
      <sz val="12"/>
      <color indexed="12"/>
      <name val="新細明體"/>
      <family val="1"/>
    </font>
    <font>
      <sz val="10"/>
      <name val="新細明體"/>
      <family val="1"/>
    </font>
    <font>
      <sz val="12"/>
      <color indexed="9"/>
      <name val="Courier New"/>
      <family val="3"/>
    </font>
    <font>
      <sz val="14"/>
      <color indexed="12"/>
      <name val="新細明體"/>
      <family val="1"/>
    </font>
    <font>
      <sz val="12"/>
      <name val="細明體"/>
      <family val="3"/>
    </font>
    <font>
      <u val="single"/>
      <sz val="18"/>
      <name val="標楷體"/>
      <family val="4"/>
    </font>
    <font>
      <u val="single"/>
      <sz val="18"/>
      <color indexed="10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4"/>
      <name val="標楷體"/>
      <family val="4"/>
    </font>
    <font>
      <u val="single"/>
      <sz val="18"/>
      <name val="新細明體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10"/>
      <name val="華康新儷粗黑"/>
      <family val="1"/>
    </font>
    <font>
      <sz val="9"/>
      <name val="Times New Roman"/>
      <family val="1"/>
    </font>
    <font>
      <sz val="14"/>
      <name val="華康新儷粗黑"/>
      <family val="1"/>
    </font>
    <font>
      <sz val="12"/>
      <name val="華康新儷粗黑"/>
      <family val="1"/>
    </font>
    <font>
      <sz val="10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8"/>
      <color indexed="10"/>
      <name val="新細明體"/>
      <family val="1"/>
    </font>
    <font>
      <sz val="12"/>
      <color indexed="10"/>
      <name val="標楷體"/>
      <family val="4"/>
    </font>
    <font>
      <b/>
      <sz val="12"/>
      <name val="標楷體"/>
      <family val="4"/>
    </font>
    <font>
      <b/>
      <sz val="12"/>
      <name val="Tahoma"/>
      <family val="2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63"/>
      <name val="Georgia"/>
      <family val="1"/>
    </font>
    <font>
      <sz val="8"/>
      <color indexed="63"/>
      <name val="Georgia"/>
      <family val="1"/>
    </font>
    <font>
      <sz val="14"/>
      <color indexed="10"/>
      <name val="Times New Roman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Georgia"/>
      <family val="1"/>
    </font>
    <font>
      <sz val="8"/>
      <color rgb="FF333333"/>
      <name val="Georgia"/>
      <family val="1"/>
    </font>
    <font>
      <sz val="14"/>
      <color rgb="FFFF0000"/>
      <name val="Times New Roman"/>
      <family val="1"/>
    </font>
    <font>
      <b/>
      <sz val="12"/>
      <color rgb="FFFF0000"/>
      <name val="標楷體"/>
      <family val="4"/>
    </font>
    <font>
      <b/>
      <sz val="8"/>
      <name val="新細明體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35" applyFont="1" applyAlignment="1">
      <alignment horizontal="centerContinuous" vertical="center"/>
      <protection/>
    </xf>
    <xf numFmtId="0" fontId="0" fillId="0" borderId="0" xfId="35" applyAlignment="1">
      <alignment horizontal="centerContinuous" vertical="center"/>
      <protection/>
    </xf>
    <xf numFmtId="0" fontId="0" fillId="0" borderId="0" xfId="35">
      <alignment vertical="center"/>
      <protection/>
    </xf>
    <xf numFmtId="0" fontId="10" fillId="0" borderId="0" xfId="35" applyFont="1">
      <alignment vertical="center"/>
      <protection/>
    </xf>
    <xf numFmtId="0" fontId="6" fillId="0" borderId="0" xfId="35" applyFont="1" applyAlignment="1">
      <alignment horizontal="right" vertical="center"/>
      <protection/>
    </xf>
    <xf numFmtId="0" fontId="0" fillId="0" borderId="0" xfId="35" applyAlignment="1">
      <alignment horizontal="center" vertical="center"/>
      <protection/>
    </xf>
    <xf numFmtId="176" fontId="0" fillId="0" borderId="0" xfId="35" applyNumberFormat="1">
      <alignment vertical="center"/>
      <protection/>
    </xf>
    <xf numFmtId="184" fontId="0" fillId="0" borderId="0" xfId="0" applyNumberFormat="1" applyAlignment="1">
      <alignment vertical="center"/>
    </xf>
    <xf numFmtId="184" fontId="20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184" fontId="0" fillId="0" borderId="0" xfId="0" applyNumberFormat="1" applyAlignment="1">
      <alignment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0" fontId="0" fillId="34" borderId="0" xfId="0" applyNumberFormat="1" applyFill="1" applyAlignment="1">
      <alignment vertical="center"/>
    </xf>
    <xf numFmtId="185" fontId="0" fillId="34" borderId="0" xfId="0" applyNumberFormat="1" applyFill="1" applyAlignment="1">
      <alignment vertical="center"/>
    </xf>
    <xf numFmtId="176" fontId="19" fillId="35" borderId="11" xfId="0" applyNumberFormat="1" applyFont="1" applyFill="1" applyBorder="1" applyAlignment="1">
      <alignment horizontal="center" vertical="center" shrinkToFit="1"/>
    </xf>
    <xf numFmtId="0" fontId="27" fillId="0" borderId="0" xfId="36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9" fillId="0" borderId="0" xfId="36" applyFont="1" applyAlignment="1" applyProtection="1">
      <alignment horizontal="center" vertical="center"/>
      <protection locked="0"/>
    </xf>
    <xf numFmtId="0" fontId="6" fillId="0" borderId="12" xfId="36" applyFont="1" applyBorder="1" applyAlignment="1" applyProtection="1">
      <alignment horizontal="center" vertical="center"/>
      <protection locked="0"/>
    </xf>
    <xf numFmtId="0" fontId="9" fillId="0" borderId="13" xfId="36" applyFont="1" applyBorder="1" applyAlignment="1" applyProtection="1">
      <alignment horizontal="center" vertical="center"/>
      <protection locked="0"/>
    </xf>
    <xf numFmtId="0" fontId="6" fillId="0" borderId="13" xfId="36" applyFont="1" applyBorder="1" applyAlignment="1" applyProtection="1">
      <alignment horizontal="center" vertical="center"/>
      <protection locked="0"/>
    </xf>
    <xf numFmtId="0" fontId="6" fillId="0" borderId="12" xfId="36" applyFont="1" applyBorder="1" applyAlignment="1" applyProtection="1">
      <alignment horizontal="center" vertical="center" wrapText="1"/>
      <protection locked="0"/>
    </xf>
    <xf numFmtId="0" fontId="6" fillId="0" borderId="14" xfId="36" applyFont="1" applyBorder="1" applyAlignment="1" applyProtection="1">
      <alignment horizontal="center" vertical="center" wrapText="1"/>
      <protection locked="0"/>
    </xf>
    <xf numFmtId="176" fontId="31" fillId="0" borderId="15" xfId="37" applyNumberFormat="1" applyFont="1" applyBorder="1" applyAlignment="1" applyProtection="1">
      <alignment horizontal="center" vertical="center"/>
      <protection/>
    </xf>
    <xf numFmtId="176" fontId="32" fillId="0" borderId="16" xfId="37" applyNumberFormat="1" applyFont="1" applyBorder="1" applyAlignment="1" applyProtection="1">
      <alignment horizontal="center" vertical="center"/>
      <protection/>
    </xf>
    <xf numFmtId="0" fontId="27" fillId="0" borderId="0" xfId="36" applyFont="1" applyAlignment="1" applyProtection="1">
      <alignment horizontal="center" vertical="center"/>
      <protection locked="0"/>
    </xf>
    <xf numFmtId="0" fontId="6" fillId="0" borderId="13" xfId="36" applyFont="1" applyFill="1" applyBorder="1" applyAlignment="1" applyProtection="1">
      <alignment horizontal="center" vertical="center"/>
      <protection locked="0"/>
    </xf>
    <xf numFmtId="0" fontId="27" fillId="0" borderId="10" xfId="36" applyFont="1" applyFill="1" applyBorder="1" applyAlignment="1" applyProtection="1">
      <alignment horizontal="center" vertical="center"/>
      <protection locked="0"/>
    </xf>
    <xf numFmtId="0" fontId="27" fillId="0" borderId="16" xfId="36" applyFont="1" applyFill="1" applyBorder="1" applyAlignment="1" applyProtection="1">
      <alignment horizontal="center" vertical="center"/>
      <protection locked="0"/>
    </xf>
    <xf numFmtId="0" fontId="27" fillId="0" borderId="10" xfId="36" applyFont="1" applyFill="1" applyBorder="1" applyAlignment="1" applyProtection="1">
      <alignment horizontal="center" vertical="center" wrapText="1"/>
      <protection locked="0"/>
    </xf>
    <xf numFmtId="0" fontId="27" fillId="0" borderId="15" xfId="36" applyFont="1" applyFill="1" applyBorder="1" applyAlignment="1" applyProtection="1">
      <alignment horizontal="center" vertical="center"/>
      <protection locked="0"/>
    </xf>
    <xf numFmtId="0" fontId="27" fillId="0" borderId="15" xfId="36" applyFont="1" applyFill="1" applyBorder="1" applyAlignment="1" applyProtection="1">
      <alignment horizontal="center" vertical="center" wrapText="1"/>
      <protection locked="0"/>
    </xf>
    <xf numFmtId="49" fontId="33" fillId="0" borderId="17" xfId="36" applyNumberFormat="1" applyFont="1" applyFill="1" applyBorder="1" applyAlignment="1" applyProtection="1">
      <alignment horizontal="center" vertical="center"/>
      <protection locked="0"/>
    </xf>
    <xf numFmtId="176" fontId="31" fillId="0" borderId="10" xfId="37" applyNumberFormat="1" applyFont="1" applyFill="1" applyBorder="1" applyAlignment="1" applyProtection="1">
      <alignment horizontal="center" vertical="center" wrapText="1"/>
      <protection/>
    </xf>
    <xf numFmtId="176" fontId="31" fillId="0" borderId="17" xfId="37" applyNumberFormat="1" applyFont="1" applyFill="1" applyBorder="1" applyAlignment="1" applyProtection="1">
      <alignment horizontal="center" vertical="center" wrapText="1"/>
      <protection/>
    </xf>
    <xf numFmtId="176" fontId="31" fillId="0" borderId="10" xfId="37" applyNumberFormat="1" applyFont="1" applyFill="1" applyBorder="1" applyAlignment="1" applyProtection="1">
      <alignment horizontal="right" vertical="center"/>
      <protection/>
    </xf>
    <xf numFmtId="176" fontId="31" fillId="0" borderId="17" xfId="37" applyNumberFormat="1" applyFont="1" applyFill="1" applyBorder="1" applyAlignment="1" applyProtection="1">
      <alignment horizontal="center" vertical="center"/>
      <protection/>
    </xf>
    <xf numFmtId="176" fontId="31" fillId="0" borderId="17" xfId="37" applyNumberFormat="1" applyFont="1" applyFill="1" applyBorder="1" applyAlignment="1" applyProtection="1">
      <alignment horizontal="right" vertical="center"/>
      <protection/>
    </xf>
    <xf numFmtId="180" fontId="9" fillId="0" borderId="10" xfId="36" applyNumberFormat="1" applyFont="1" applyBorder="1" applyAlignment="1" applyProtection="1">
      <alignment vertical="center"/>
      <protection locked="0"/>
    </xf>
    <xf numFmtId="190" fontId="9" fillId="0" borderId="10" xfId="36" applyNumberFormat="1" applyFont="1" applyBorder="1" applyAlignment="1" applyProtection="1">
      <alignment vertical="center"/>
      <protection locked="0"/>
    </xf>
    <xf numFmtId="180" fontId="9" fillId="36" borderId="10" xfId="37" applyNumberFormat="1" applyFont="1" applyFill="1" applyBorder="1" applyAlignment="1" applyProtection="1">
      <alignment horizontal="right" vertical="center"/>
      <protection locked="0"/>
    </xf>
    <xf numFmtId="180" fontId="9" fillId="0" borderId="10" xfId="37" applyNumberFormat="1" applyFont="1" applyBorder="1" applyAlignment="1" applyProtection="1">
      <alignment horizontal="right" vertical="center"/>
      <protection/>
    </xf>
    <xf numFmtId="180" fontId="9" fillId="0" borderId="10" xfId="37" applyNumberFormat="1" applyFont="1" applyBorder="1" applyAlignment="1" applyProtection="1">
      <alignment horizontal="right" vertical="center" wrapText="1"/>
      <protection/>
    </xf>
    <xf numFmtId="180" fontId="9" fillId="0" borderId="10" xfId="37" applyNumberFormat="1" applyFont="1" applyFill="1" applyBorder="1" applyAlignment="1" applyProtection="1">
      <alignment horizontal="right" vertical="center" wrapText="1"/>
      <protection locked="0"/>
    </xf>
    <xf numFmtId="180" fontId="9" fillId="36" borderId="10" xfId="37" applyNumberFormat="1" applyFont="1" applyFill="1" applyBorder="1" applyAlignment="1" applyProtection="1">
      <alignment horizontal="right" vertical="center" wrapText="1"/>
      <protection locked="0"/>
    </xf>
    <xf numFmtId="180" fontId="9" fillId="36" borderId="10" xfId="37" applyNumberFormat="1" applyFont="1" applyFill="1" applyBorder="1" applyAlignment="1" applyProtection="1">
      <alignment horizontal="right" vertical="center" wrapText="1"/>
      <protection/>
    </xf>
    <xf numFmtId="0" fontId="20" fillId="0" borderId="10" xfId="36" applyFont="1" applyBorder="1" applyAlignment="1" applyProtection="1">
      <alignment horizontal="center" vertical="center"/>
      <protection locked="0"/>
    </xf>
    <xf numFmtId="0" fontId="20" fillId="0" borderId="0" xfId="36" applyFont="1" applyBorder="1" applyAlignment="1" applyProtection="1">
      <alignment horizontal="center" vertical="center"/>
      <protection locked="0"/>
    </xf>
    <xf numFmtId="0" fontId="20" fillId="0" borderId="0" xfId="36" applyFont="1" applyAlignment="1" applyProtection="1">
      <alignment vertical="center"/>
      <protection locked="0"/>
    </xf>
    <xf numFmtId="180" fontId="9" fillId="0" borderId="10" xfId="37" applyNumberFormat="1" applyFont="1" applyFill="1" applyBorder="1" applyAlignment="1" applyProtection="1">
      <alignment horizontal="right" vertical="center"/>
      <protection locked="0"/>
    </xf>
    <xf numFmtId="180" fontId="9" fillId="0" borderId="10" xfId="37" applyNumberFormat="1" applyFont="1" applyFill="1" applyBorder="1" applyAlignment="1" applyProtection="1">
      <alignment horizontal="right" vertical="center" wrapText="1"/>
      <protection/>
    </xf>
    <xf numFmtId="0" fontId="34" fillId="0" borderId="17" xfId="36" applyFont="1" applyBorder="1" applyAlignment="1" applyProtection="1">
      <alignment horizontal="center" vertical="center"/>
      <protection locked="0"/>
    </xf>
    <xf numFmtId="0" fontId="9" fillId="0" borderId="17" xfId="36" applyFont="1" applyBorder="1" applyAlignment="1" applyProtection="1">
      <alignment horizontal="center" vertical="center"/>
      <protection locked="0"/>
    </xf>
    <xf numFmtId="176" fontId="9" fillId="0" borderId="17" xfId="37" applyNumberFormat="1" applyFont="1" applyBorder="1" applyAlignment="1" applyProtection="1">
      <alignment horizontal="right" vertical="center"/>
      <protection/>
    </xf>
    <xf numFmtId="176" fontId="9" fillId="0" borderId="17" xfId="37" applyNumberFormat="1" applyFont="1" applyFill="1" applyBorder="1" applyAlignment="1" applyProtection="1">
      <alignment horizontal="right" vertical="center"/>
      <protection/>
    </xf>
    <xf numFmtId="176" fontId="32" fillId="0" borderId="10" xfId="37" applyNumberFormat="1" applyFont="1" applyBorder="1" applyAlignment="1" applyProtection="1">
      <alignment horizontal="right" vertical="center"/>
      <protection/>
    </xf>
    <xf numFmtId="176" fontId="35" fillId="0" borderId="17" xfId="37" applyNumberFormat="1" applyFont="1" applyBorder="1" applyAlignment="1" applyProtection="1">
      <alignment horizontal="right" vertical="center"/>
      <protection/>
    </xf>
    <xf numFmtId="176" fontId="32" fillId="0" borderId="17" xfId="37" applyNumberFormat="1" applyFont="1" applyBorder="1" applyAlignment="1" applyProtection="1">
      <alignment horizontal="right" vertical="center"/>
      <protection/>
    </xf>
    <xf numFmtId="176" fontId="36" fillId="0" borderId="17" xfId="37" applyNumberFormat="1" applyFont="1" applyBorder="1" applyAlignment="1" applyProtection="1">
      <alignment horizontal="center" vertical="center"/>
      <protection/>
    </xf>
    <xf numFmtId="0" fontId="37" fillId="0" borderId="17" xfId="36" applyFont="1" applyBorder="1" applyAlignment="1" applyProtection="1">
      <alignment horizontal="center" vertical="center"/>
      <protection locked="0"/>
    </xf>
    <xf numFmtId="0" fontId="37" fillId="0" borderId="0" xfId="36" applyFont="1" applyAlignment="1" applyProtection="1">
      <alignment vertical="center"/>
      <protection locked="0"/>
    </xf>
    <xf numFmtId="0" fontId="34" fillId="0" borderId="10" xfId="36" applyFont="1" applyFill="1" applyBorder="1" applyAlignment="1" applyProtection="1">
      <alignment horizontal="center" vertical="center"/>
      <protection locked="0"/>
    </xf>
    <xf numFmtId="0" fontId="9" fillId="0" borderId="10" xfId="36" applyFont="1" applyFill="1" applyBorder="1" applyAlignment="1" applyProtection="1">
      <alignment horizontal="center" vertical="center"/>
      <protection locked="0"/>
    </xf>
    <xf numFmtId="176" fontId="9" fillId="0" borderId="10" xfId="37" applyNumberFormat="1" applyFont="1" applyBorder="1" applyAlignment="1" applyProtection="1">
      <alignment horizontal="right" vertical="center"/>
      <protection/>
    </xf>
    <xf numFmtId="176" fontId="9" fillId="0" borderId="10" xfId="37" applyNumberFormat="1" applyFont="1" applyFill="1" applyBorder="1" applyAlignment="1" applyProtection="1">
      <alignment horizontal="right" vertical="center"/>
      <protection/>
    </xf>
    <xf numFmtId="176" fontId="9" fillId="37" borderId="17" xfId="37" applyNumberFormat="1" applyFont="1" applyFill="1" applyBorder="1" applyAlignment="1" applyProtection="1">
      <alignment horizontal="right" vertical="center" wrapText="1"/>
      <protection/>
    </xf>
    <xf numFmtId="176" fontId="34" fillId="0" borderId="10" xfId="36" applyNumberFormat="1" applyFont="1" applyBorder="1" applyAlignment="1" applyProtection="1">
      <alignment horizontal="center" vertical="center"/>
      <protection locked="0"/>
    </xf>
    <xf numFmtId="0" fontId="37" fillId="0" borderId="0" xfId="36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6" fontId="20" fillId="0" borderId="0" xfId="36" applyNumberFormat="1" applyFont="1" applyAlignment="1" applyProtection="1">
      <alignment vertical="center"/>
      <protection locked="0"/>
    </xf>
    <xf numFmtId="0" fontId="20" fillId="0" borderId="0" xfId="36" applyFont="1" applyFill="1" applyAlignment="1" applyProtection="1">
      <alignment vertical="center"/>
      <protection locked="0"/>
    </xf>
    <xf numFmtId="0" fontId="20" fillId="0" borderId="0" xfId="36" applyFont="1" applyAlignment="1" applyProtection="1">
      <alignment horizontal="center" vertical="center"/>
      <protection locked="0"/>
    </xf>
    <xf numFmtId="0" fontId="27" fillId="0" borderId="10" xfId="36" applyFont="1" applyBorder="1" applyAlignment="1" applyProtection="1">
      <alignment vertical="center"/>
      <protection locked="0"/>
    </xf>
    <xf numFmtId="0" fontId="27" fillId="0" borderId="18" xfId="36" applyFont="1" applyFill="1" applyBorder="1" applyAlignment="1" applyProtection="1">
      <alignment horizontal="center" vertical="center" wrapText="1"/>
      <protection locked="0"/>
    </xf>
    <xf numFmtId="190" fontId="9" fillId="0" borderId="10" xfId="36" applyNumberFormat="1" applyFont="1" applyFill="1" applyBorder="1" applyAlignment="1" applyProtection="1">
      <alignment vertical="center"/>
      <protection locked="0"/>
    </xf>
    <xf numFmtId="180" fontId="9" fillId="0" borderId="10" xfId="36" applyNumberFormat="1" applyFont="1" applyFill="1" applyBorder="1" applyAlignment="1" applyProtection="1">
      <alignment vertical="center"/>
      <protection locked="0"/>
    </xf>
    <xf numFmtId="0" fontId="38" fillId="0" borderId="0" xfId="36" applyFont="1" applyAlignment="1" applyProtection="1">
      <alignment vertical="center"/>
      <protection locked="0"/>
    </xf>
    <xf numFmtId="180" fontId="39" fillId="0" borderId="10" xfId="36" applyNumberFormat="1" applyFont="1" applyFill="1" applyBorder="1" applyAlignment="1" applyProtection="1">
      <alignment vertical="center"/>
      <protection locked="0"/>
    </xf>
    <xf numFmtId="190" fontId="39" fillId="0" borderId="10" xfId="36" applyNumberFormat="1" applyFont="1" applyBorder="1" applyAlignment="1" applyProtection="1">
      <alignment vertical="center"/>
      <protection locked="0"/>
    </xf>
    <xf numFmtId="180" fontId="39" fillId="0" borderId="10" xfId="37" applyNumberFormat="1" applyFont="1" applyFill="1" applyBorder="1" applyAlignment="1" applyProtection="1">
      <alignment horizontal="right" vertical="center" wrapText="1"/>
      <protection locked="0"/>
    </xf>
    <xf numFmtId="180" fontId="39" fillId="0" borderId="10" xfId="37" applyNumberFormat="1" applyFont="1" applyFill="1" applyBorder="1" applyAlignment="1" applyProtection="1">
      <alignment horizontal="right" vertical="center"/>
      <protection locked="0"/>
    </xf>
    <xf numFmtId="180" fontId="39" fillId="36" borderId="10" xfId="37" applyNumberFormat="1" applyFont="1" applyFill="1" applyBorder="1" applyAlignment="1" applyProtection="1">
      <alignment horizontal="right" vertical="center" wrapText="1"/>
      <protection/>
    </xf>
    <xf numFmtId="0" fontId="38" fillId="0" borderId="10" xfId="36" applyFont="1" applyBorder="1" applyAlignment="1" applyProtection="1">
      <alignment horizontal="center" vertical="center"/>
      <protection locked="0"/>
    </xf>
    <xf numFmtId="0" fontId="38" fillId="0" borderId="0" xfId="36" applyFont="1" applyBorder="1" applyAlignment="1" applyProtection="1">
      <alignment horizontal="center" vertical="center"/>
      <protection locked="0"/>
    </xf>
    <xf numFmtId="180" fontId="39" fillId="0" borderId="10" xfId="37" applyNumberFormat="1" applyFont="1" applyFill="1" applyBorder="1" applyAlignment="1" applyProtection="1">
      <alignment horizontal="right" vertical="center" wrapText="1"/>
      <protection/>
    </xf>
    <xf numFmtId="180" fontId="39" fillId="0" borderId="10" xfId="36" applyNumberFormat="1" applyFont="1" applyBorder="1" applyAlignment="1" applyProtection="1">
      <alignment vertical="center"/>
      <protection locked="0"/>
    </xf>
    <xf numFmtId="180" fontId="39" fillId="0" borderId="17" xfId="36" applyNumberFormat="1" applyFont="1" applyBorder="1" applyAlignment="1" applyProtection="1">
      <alignment vertical="center"/>
      <protection locked="0"/>
    </xf>
    <xf numFmtId="180" fontId="39" fillId="0" borderId="17" xfId="37" applyNumberFormat="1" applyFont="1" applyFill="1" applyBorder="1" applyAlignment="1" applyProtection="1">
      <alignment horizontal="right" vertical="center" wrapText="1"/>
      <protection locked="0"/>
    </xf>
    <xf numFmtId="0" fontId="38" fillId="0" borderId="17" xfId="36" applyFont="1" applyBorder="1" applyAlignment="1" applyProtection="1">
      <alignment horizontal="center" vertical="center"/>
      <protection locked="0"/>
    </xf>
    <xf numFmtId="0" fontId="6" fillId="0" borderId="17" xfId="36" applyFont="1" applyBorder="1" applyAlignment="1" applyProtection="1">
      <alignment horizontal="center" vertical="center"/>
      <protection locked="0"/>
    </xf>
    <xf numFmtId="0" fontId="27" fillId="0" borderId="10" xfId="36" applyFont="1" applyBorder="1" applyAlignment="1" applyProtection="1">
      <alignment horizontal="center" vertical="center"/>
      <protection locked="0"/>
    </xf>
    <xf numFmtId="0" fontId="27" fillId="0" borderId="16" xfId="36" applyFont="1" applyBorder="1" applyAlignment="1" applyProtection="1">
      <alignment horizontal="center" vertical="center"/>
      <protection locked="0"/>
    </xf>
    <xf numFmtId="0" fontId="27" fillId="0" borderId="10" xfId="36" applyFont="1" applyBorder="1" applyAlignment="1" applyProtection="1">
      <alignment horizontal="center" vertical="center" wrapText="1"/>
      <protection locked="0"/>
    </xf>
    <xf numFmtId="0" fontId="27" fillId="0" borderId="15" xfId="36" applyFont="1" applyBorder="1" applyAlignment="1" applyProtection="1">
      <alignment horizontal="center" vertical="center"/>
      <protection locked="0"/>
    </xf>
    <xf numFmtId="0" fontId="27" fillId="0" borderId="15" xfId="36" applyFont="1" applyBorder="1" applyAlignment="1" applyProtection="1">
      <alignment horizontal="center" vertical="center" wrapText="1"/>
      <protection locked="0"/>
    </xf>
    <xf numFmtId="49" fontId="33" fillId="0" borderId="17" xfId="36" applyNumberFormat="1" applyFont="1" applyBorder="1" applyAlignment="1" applyProtection="1">
      <alignment horizontal="center" vertical="center"/>
      <protection locked="0"/>
    </xf>
    <xf numFmtId="176" fontId="31" fillId="0" borderId="10" xfId="37" applyNumberFormat="1" applyFont="1" applyBorder="1" applyAlignment="1" applyProtection="1">
      <alignment horizontal="right" vertical="center"/>
      <protection/>
    </xf>
    <xf numFmtId="176" fontId="31" fillId="0" borderId="17" xfId="37" applyNumberFormat="1" applyFont="1" applyBorder="1" applyAlignment="1" applyProtection="1">
      <alignment horizontal="center" vertical="center"/>
      <protection/>
    </xf>
    <xf numFmtId="190" fontId="23" fillId="0" borderId="10" xfId="36" applyNumberFormat="1" applyFont="1" applyBorder="1" applyAlignment="1" applyProtection="1">
      <alignment vertical="center"/>
      <protection locked="0"/>
    </xf>
    <xf numFmtId="180" fontId="39" fillId="0" borderId="10" xfId="37" applyNumberFormat="1" applyFont="1" applyBorder="1" applyAlignment="1" applyProtection="1">
      <alignment horizontal="right" vertical="center"/>
      <protection/>
    </xf>
    <xf numFmtId="180" fontId="39" fillId="0" borderId="10" xfId="37" applyNumberFormat="1" applyFont="1" applyBorder="1" applyAlignment="1" applyProtection="1">
      <alignment horizontal="right" vertical="center" wrapText="1"/>
      <protection/>
    </xf>
    <xf numFmtId="0" fontId="80" fillId="38" borderId="11" xfId="0" applyFont="1" applyFill="1" applyBorder="1" applyAlignment="1">
      <alignment horizontal="right" vertical="center" wrapText="1"/>
    </xf>
    <xf numFmtId="3" fontId="80" fillId="38" borderId="11" xfId="0" applyNumberFormat="1" applyFont="1" applyFill="1" applyBorder="1" applyAlignment="1">
      <alignment horizontal="right" vertical="center"/>
    </xf>
    <xf numFmtId="0" fontId="80" fillId="38" borderId="11" xfId="0" applyFont="1" applyFill="1" applyBorder="1" applyAlignment="1">
      <alignment horizontal="right" vertical="center"/>
    </xf>
    <xf numFmtId="0" fontId="81" fillId="38" borderId="11" xfId="0" applyFont="1" applyFill="1" applyBorder="1" applyAlignment="1">
      <alignment vertical="center"/>
    </xf>
    <xf numFmtId="185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 wrapText="1"/>
    </xf>
    <xf numFmtId="176" fontId="82" fillId="0" borderId="10" xfId="0" applyNumberFormat="1" applyFont="1" applyBorder="1" applyAlignment="1">
      <alignment vertical="center"/>
    </xf>
    <xf numFmtId="176" fontId="5" fillId="0" borderId="10" xfId="35" applyNumberFormat="1" applyFont="1" applyBorder="1">
      <alignment vertical="center"/>
      <protection/>
    </xf>
    <xf numFmtId="176" fontId="5" fillId="0" borderId="0" xfId="0" applyNumberFormat="1" applyFont="1" applyAlignment="1">
      <alignment vertical="center"/>
    </xf>
    <xf numFmtId="181" fontId="11" fillId="0" borderId="0" xfId="0" applyNumberFormat="1" applyFont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0" fontId="6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5" fillId="0" borderId="10" xfId="35" applyFont="1" applyBorder="1" applyAlignment="1">
      <alignment horizontal="center" vertical="center"/>
      <protection/>
    </xf>
    <xf numFmtId="176" fontId="82" fillId="0" borderId="10" xfId="35" applyNumberFormat="1" applyFont="1" applyBorder="1">
      <alignment vertical="center"/>
      <protection/>
    </xf>
    <xf numFmtId="0" fontId="5" fillId="0" borderId="0" xfId="35" applyFont="1" applyAlignment="1">
      <alignment horizontal="center" vertical="center"/>
      <protection/>
    </xf>
    <xf numFmtId="176" fontId="5" fillId="0" borderId="0" xfId="35" applyNumberFormat="1" applyFont="1">
      <alignment vertical="center"/>
      <protection/>
    </xf>
    <xf numFmtId="176" fontId="12" fillId="0" borderId="0" xfId="35" applyNumberFormat="1" applyFont="1">
      <alignment vertical="center"/>
      <protection/>
    </xf>
    <xf numFmtId="0" fontId="83" fillId="0" borderId="0" xfId="36" applyFont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6" fillId="0" borderId="10" xfId="45" applyFont="1" applyBorder="1" applyAlignment="1">
      <alignment horizontal="center" vertical="center"/>
    </xf>
    <xf numFmtId="192" fontId="6" fillId="39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80" fontId="9" fillId="40" borderId="10" xfId="37" applyNumberFormat="1" applyFont="1" applyFill="1" applyBorder="1" applyAlignment="1" applyProtection="1">
      <alignment horizontal="right" vertical="center"/>
      <protection/>
    </xf>
    <xf numFmtId="180" fontId="9" fillId="36" borderId="10" xfId="37" applyNumberFormat="1" applyFont="1" applyFill="1" applyBorder="1" applyAlignment="1" applyProtection="1">
      <alignment horizontal="right" vertical="center"/>
      <protection/>
    </xf>
    <xf numFmtId="180" fontId="39" fillId="36" borderId="10" xfId="37" applyNumberFormat="1" applyFont="1" applyFill="1" applyBorder="1" applyAlignment="1" applyProtection="1">
      <alignment horizontal="right" vertical="center"/>
      <protection/>
    </xf>
    <xf numFmtId="180" fontId="39" fillId="36" borderId="17" xfId="37" applyNumberFormat="1" applyFont="1" applyFill="1" applyBorder="1" applyAlignment="1" applyProtection="1">
      <alignment horizontal="right" vertical="center"/>
      <protection/>
    </xf>
    <xf numFmtId="180" fontId="9" fillId="0" borderId="10" xfId="36" applyNumberFormat="1" applyFont="1" applyBorder="1" applyAlignment="1" applyProtection="1">
      <alignment vertical="center"/>
      <protection/>
    </xf>
    <xf numFmtId="190" fontId="9" fillId="0" borderId="10" xfId="36" applyNumberFormat="1" applyFont="1" applyBorder="1" applyAlignment="1" applyProtection="1">
      <alignment vertical="center"/>
      <protection/>
    </xf>
    <xf numFmtId="180" fontId="39" fillId="40" borderId="10" xfId="37" applyNumberFormat="1" applyFont="1" applyFill="1" applyBorder="1" applyAlignment="1" applyProtection="1">
      <alignment horizontal="right" vertical="center"/>
      <protection/>
    </xf>
    <xf numFmtId="176" fontId="31" fillId="0" borderId="15" xfId="37" applyNumberFormat="1" applyFont="1" applyBorder="1" applyAlignment="1" applyProtection="1">
      <alignment horizontal="center" vertical="center"/>
      <protection/>
    </xf>
    <xf numFmtId="176" fontId="31" fillId="0" borderId="19" xfId="37" applyNumberFormat="1" applyFont="1" applyBorder="1" applyAlignment="1" applyProtection="1">
      <alignment horizontal="center" vertical="center"/>
      <protection/>
    </xf>
    <xf numFmtId="176" fontId="31" fillId="0" borderId="16" xfId="37" applyNumberFormat="1" applyFont="1" applyBorder="1" applyAlignment="1" applyProtection="1">
      <alignment horizontal="center" vertical="center"/>
      <protection/>
    </xf>
    <xf numFmtId="0" fontId="24" fillId="0" borderId="0" xfId="36" applyFont="1" applyAlignment="1" applyProtection="1">
      <alignment horizontal="center" vertical="center"/>
      <protection locked="0"/>
    </xf>
    <xf numFmtId="0" fontId="5" fillId="0" borderId="15" xfId="36" applyFont="1" applyBorder="1" applyAlignment="1" applyProtection="1">
      <alignment horizontal="center" vertical="center"/>
      <protection locked="0"/>
    </xf>
    <xf numFmtId="0" fontId="5" fillId="0" borderId="19" xfId="36" applyFont="1" applyBorder="1" applyAlignment="1" applyProtection="1">
      <alignment horizontal="center" vertical="center"/>
      <protection locked="0"/>
    </xf>
    <xf numFmtId="0" fontId="9" fillId="0" borderId="16" xfId="36" applyFont="1" applyBorder="1" applyAlignment="1">
      <alignment horizontal="center" vertical="center"/>
      <protection/>
    </xf>
    <xf numFmtId="0" fontId="9" fillId="0" borderId="15" xfId="36" applyFont="1" applyBorder="1" applyAlignment="1">
      <alignment horizontal="center" vertical="center"/>
      <protection/>
    </xf>
    <xf numFmtId="0" fontId="9" fillId="0" borderId="19" xfId="36" applyFont="1" applyBorder="1" applyAlignment="1">
      <alignment horizontal="center" vertical="center"/>
      <protection/>
    </xf>
    <xf numFmtId="0" fontId="27" fillId="0" borderId="12" xfId="36" applyFont="1" applyBorder="1" applyAlignment="1" applyProtection="1">
      <alignment horizontal="center" vertical="center" wrapText="1"/>
      <protection locked="0"/>
    </xf>
    <xf numFmtId="0" fontId="30" fillId="0" borderId="13" xfId="36" applyFont="1" applyBorder="1" applyAlignment="1">
      <alignment horizontal="center" vertical="center"/>
      <protection/>
    </xf>
    <xf numFmtId="0" fontId="30" fillId="0" borderId="17" xfId="36" applyFont="1" applyBorder="1" applyAlignment="1">
      <alignment horizontal="center" vertical="center"/>
      <protection/>
    </xf>
    <xf numFmtId="0" fontId="6" fillId="0" borderId="12" xfId="36" applyFont="1" applyBorder="1" applyAlignment="1" applyProtection="1">
      <alignment horizontal="center" vertical="center"/>
      <protection locked="0"/>
    </xf>
    <xf numFmtId="0" fontId="9" fillId="0" borderId="20" xfId="36" applyFont="1" applyBorder="1" applyAlignment="1" applyProtection="1">
      <alignment horizontal="center" vertical="center"/>
      <protection locked="0"/>
    </xf>
    <xf numFmtId="0" fontId="9" fillId="0" borderId="21" xfId="36" applyFont="1" applyBorder="1" applyAlignment="1" applyProtection="1">
      <alignment horizontal="center" vertical="center"/>
      <protection locked="0"/>
    </xf>
    <xf numFmtId="0" fontId="9" fillId="0" borderId="12" xfId="36" applyFont="1" applyBorder="1" applyAlignment="1" applyProtection="1">
      <alignment horizontal="center" vertical="center"/>
      <protection locked="0"/>
    </xf>
    <xf numFmtId="0" fontId="6" fillId="0" borderId="22" xfId="36" applyFont="1" applyBorder="1" applyAlignment="1" applyProtection="1">
      <alignment horizontal="center" vertical="center" wrapText="1"/>
      <protection locked="0"/>
    </xf>
    <xf numFmtId="0" fontId="9" fillId="0" borderId="12" xfId="36" applyFont="1" applyBorder="1" applyAlignment="1" applyProtection="1">
      <alignment horizontal="center" vertical="center" wrapText="1"/>
      <protection locked="0"/>
    </xf>
    <xf numFmtId="0" fontId="6" fillId="0" borderId="12" xfId="36" applyFont="1" applyBorder="1" applyAlignment="1" applyProtection="1">
      <alignment horizontal="center" vertical="center" wrapText="1"/>
      <protection locked="0"/>
    </xf>
    <xf numFmtId="0" fontId="9" fillId="0" borderId="14" xfId="36" applyFont="1" applyBorder="1" applyAlignment="1" applyProtection="1">
      <alignment horizontal="center" vertical="center" wrapText="1"/>
      <protection locked="0"/>
    </xf>
    <xf numFmtId="176" fontId="32" fillId="0" borderId="19" xfId="37" applyNumberFormat="1" applyFont="1" applyBorder="1" applyAlignment="1" applyProtection="1">
      <alignment horizontal="center" vertical="center"/>
      <protection/>
    </xf>
    <xf numFmtId="176" fontId="32" fillId="0" borderId="16" xfId="37" applyNumberFormat="1" applyFont="1" applyBorder="1" applyAlignment="1" applyProtection="1">
      <alignment horizontal="center" vertical="center"/>
      <protection/>
    </xf>
    <xf numFmtId="0" fontId="32" fillId="0" borderId="19" xfId="36" applyFont="1" applyBorder="1" applyAlignment="1" applyProtection="1">
      <alignment horizontal="center" vertical="center"/>
      <protection locked="0"/>
    </xf>
    <xf numFmtId="0" fontId="29" fillId="0" borderId="0" xfId="36" applyFont="1" applyAlignment="1" applyProtection="1">
      <alignment horizontal="center" vertical="center"/>
      <protection locked="0"/>
    </xf>
    <xf numFmtId="184" fontId="13" fillId="0" borderId="11" xfId="0" applyNumberFormat="1" applyFont="1" applyBorder="1" applyAlignment="1">
      <alignment horizontal="left" vertical="center" wrapText="1"/>
    </xf>
    <xf numFmtId="183" fontId="17" fillId="0" borderId="11" xfId="0" applyNumberFormat="1" applyFont="1" applyBorder="1" applyAlignment="1">
      <alignment horizontal="center" vertical="center"/>
    </xf>
    <xf numFmtId="183" fontId="18" fillId="41" borderId="11" xfId="0" applyNumberFormat="1" applyFont="1" applyFill="1" applyBorder="1" applyAlignment="1">
      <alignment horizontal="center" vertical="center" wrapText="1"/>
    </xf>
    <xf numFmtId="183" fontId="21" fillId="41" borderId="11" xfId="0" applyNumberFormat="1" applyFont="1" applyFill="1" applyBorder="1" applyAlignment="1">
      <alignment horizontal="center" vertical="center" wrapText="1"/>
    </xf>
    <xf numFmtId="181" fontId="14" fillId="41" borderId="11" xfId="0" applyNumberFormat="1" applyFont="1" applyFill="1" applyBorder="1" applyAlignment="1">
      <alignment horizontal="center" vertical="center"/>
    </xf>
    <xf numFmtId="176" fontId="19" fillId="42" borderId="11" xfId="0" applyNumberFormat="1" applyFont="1" applyFill="1" applyBorder="1" applyAlignment="1">
      <alignment horizontal="center" vertical="center"/>
    </xf>
    <xf numFmtId="176" fontId="19" fillId="43" borderId="11" xfId="0" applyNumberFormat="1" applyFont="1" applyFill="1" applyBorder="1" applyAlignment="1">
      <alignment horizontal="center" vertical="center"/>
    </xf>
    <xf numFmtId="176" fontId="19" fillId="34" borderId="11" xfId="0" applyNumberFormat="1" applyFont="1" applyFill="1" applyBorder="1" applyAlignment="1">
      <alignment horizontal="center" vertical="center"/>
    </xf>
    <xf numFmtId="183" fontId="22" fillId="0" borderId="11" xfId="0" applyNumberFormat="1" applyFont="1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181" fontId="13" fillId="0" borderId="11" xfId="0" applyNumberFormat="1" applyFont="1" applyBorder="1" applyAlignment="1">
      <alignment horizontal="left" vertical="center" wrapText="1"/>
    </xf>
    <xf numFmtId="181" fontId="13" fillId="0" borderId="11" xfId="0" applyNumberFormat="1" applyFont="1" applyBorder="1" applyAlignment="1">
      <alignment horizontal="left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08年度約聘僱及臨時薪資保費標準(含二代健保補充保費)" xfId="35"/>
    <cellStyle name="一般_108社工工作-人事費計算表" xfId="36"/>
    <cellStyle name="Comma" xfId="37"/>
    <cellStyle name="千分位 2" xfId="38"/>
    <cellStyle name="Comma [0]" xfId="39"/>
    <cellStyle name="千分位[0] 2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31" sqref="G31"/>
    </sheetView>
  </sheetViews>
  <sheetFormatPr defaultColWidth="9.00390625" defaultRowHeight="16.5"/>
  <cols>
    <col min="1" max="1" width="14.375" style="138" customWidth="1"/>
    <col min="2" max="3" width="9.00390625" style="141" customWidth="1"/>
    <col min="4" max="4" width="11.125" style="138" customWidth="1"/>
    <col min="5" max="16384" width="9.00390625" style="138" customWidth="1"/>
  </cols>
  <sheetData>
    <row r="1" spans="1:4" ht="16.5">
      <c r="A1" s="136"/>
      <c r="B1" s="137" t="s">
        <v>0</v>
      </c>
      <c r="C1" s="137" t="s">
        <v>174</v>
      </c>
      <c r="D1" s="136" t="s">
        <v>175</v>
      </c>
    </row>
    <row r="2" spans="1:4" ht="16.5">
      <c r="A2" s="136" t="s">
        <v>176</v>
      </c>
      <c r="B2" s="137">
        <v>129.7</v>
      </c>
      <c r="C2" s="139">
        <v>0.04</v>
      </c>
      <c r="D2" s="140">
        <f>ROUND(B2*(1+C2),1)</f>
        <v>134.9</v>
      </c>
    </row>
    <row r="3" spans="1:4" ht="16.5">
      <c r="A3" s="136" t="s">
        <v>177</v>
      </c>
      <c r="B3" s="137">
        <v>135</v>
      </c>
      <c r="C3" s="139">
        <v>0.04</v>
      </c>
      <c r="D3" s="140">
        <f>ROUND(B3*(1+C3),1)</f>
        <v>140.4</v>
      </c>
    </row>
    <row r="4" spans="1:4" ht="16.5">
      <c r="A4" s="136" t="s">
        <v>178</v>
      </c>
      <c r="B4" s="137">
        <v>138.6</v>
      </c>
      <c r="C4" s="139">
        <v>0.04</v>
      </c>
      <c r="D4" s="140">
        <f>ROUND(B4*(1+C4),1)</f>
        <v>144.1</v>
      </c>
    </row>
    <row r="6" spans="1:2" ht="16.5">
      <c r="A6" s="138" t="s">
        <v>179</v>
      </c>
      <c r="B6" s="141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2"/>
  <sheetViews>
    <sheetView zoomScale="75" zoomScaleNormal="75" zoomScalePageLayoutView="0" workbookViewId="0" topLeftCell="A1">
      <pane xSplit="4" ySplit="4" topLeftCell="E11" activePane="bottomRight" state="frozen"/>
      <selection pane="topLeft" activeCell="B1" sqref="B1"/>
      <selection pane="topRight" activeCell="E1" sqref="E1"/>
      <selection pane="bottomLeft" activeCell="B5" sqref="B5"/>
      <selection pane="bottomRight" activeCell="E17" sqref="E17"/>
    </sheetView>
  </sheetViews>
  <sheetFormatPr defaultColWidth="9.00390625" defaultRowHeight="16.5"/>
  <cols>
    <col min="1" max="1" width="0.12890625" style="64" customWidth="1"/>
    <col min="2" max="2" width="8.50390625" style="64" bestFit="1" customWidth="1"/>
    <col min="3" max="3" width="7.125" style="64" bestFit="1" customWidth="1"/>
    <col min="4" max="4" width="10.00390625" style="64" bestFit="1" customWidth="1"/>
    <col min="5" max="5" width="5.875" style="86" bestFit="1" customWidth="1"/>
    <col min="6" max="6" width="12.625" style="64" customWidth="1"/>
    <col min="7" max="7" width="10.00390625" style="64" bestFit="1" customWidth="1"/>
    <col min="8" max="8" width="5.875" style="64" bestFit="1" customWidth="1"/>
    <col min="9" max="9" width="11.875" style="64" customWidth="1"/>
    <col min="10" max="10" width="10.00390625" style="64" bestFit="1" customWidth="1"/>
    <col min="11" max="11" width="6.75390625" style="64" bestFit="1" customWidth="1"/>
    <col min="12" max="12" width="10.00390625" style="64" bestFit="1" customWidth="1"/>
    <col min="13" max="13" width="5.875" style="86" bestFit="1" customWidth="1"/>
    <col min="14" max="15" width="10.00390625" style="86" bestFit="1" customWidth="1"/>
    <col min="16" max="16" width="5.875" style="64" bestFit="1" customWidth="1"/>
    <col min="17" max="17" width="10.00390625" style="64" bestFit="1" customWidth="1"/>
    <col min="18" max="18" width="12.25390625" style="64" bestFit="1" customWidth="1"/>
    <col min="19" max="19" width="10.875" style="64" bestFit="1" customWidth="1"/>
    <col min="20" max="20" width="11.375" style="64" customWidth="1"/>
    <col min="21" max="21" width="10.00390625" style="64" bestFit="1" customWidth="1"/>
    <col min="22" max="22" width="5.875" style="64" bestFit="1" customWidth="1"/>
    <col min="23" max="23" width="9.50390625" style="64" bestFit="1" customWidth="1"/>
    <col min="24" max="24" width="10.00390625" style="64" bestFit="1" customWidth="1"/>
    <col min="25" max="25" width="5.875" style="64" bestFit="1" customWidth="1"/>
    <col min="26" max="26" width="9.50390625" style="64" bestFit="1" customWidth="1"/>
    <col min="27" max="28" width="5.50390625" style="64" customWidth="1"/>
    <col min="29" max="29" width="9.625" style="64" customWidth="1"/>
    <col min="30" max="30" width="19.375" style="64" bestFit="1" customWidth="1"/>
    <col min="31" max="31" width="6.50390625" style="87" bestFit="1" customWidth="1"/>
    <col min="32" max="32" width="3.25390625" style="64" customWidth="1"/>
    <col min="33" max="34" width="2.625" style="64" customWidth="1"/>
    <col min="35" max="16384" width="9.00390625" style="64" customWidth="1"/>
  </cols>
  <sheetData>
    <row r="1" spans="2:31" s="29" customFormat="1" ht="24" customHeight="1">
      <c r="B1" s="152" t="s">
        <v>38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2:31" s="29" customFormat="1" ht="24" customHeight="1">
      <c r="B2" s="30" t="s">
        <v>39</v>
      </c>
      <c r="C2" s="31"/>
      <c r="D2" s="31"/>
      <c r="E2" s="31"/>
      <c r="F2" s="31"/>
      <c r="G2" s="32" t="s">
        <v>40</v>
      </c>
      <c r="H2" s="31"/>
      <c r="I2" s="31"/>
      <c r="J2" s="31" t="s">
        <v>41</v>
      </c>
      <c r="K2" s="31"/>
      <c r="L2" s="32"/>
      <c r="M2" s="32"/>
      <c r="N2" s="31"/>
      <c r="O2" s="31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2:31" s="29" customFormat="1" ht="24" customHeight="1">
      <c r="B3" s="34" t="s">
        <v>42</v>
      </c>
      <c r="C3" s="34" t="s">
        <v>43</v>
      </c>
      <c r="D3" s="153" t="s">
        <v>44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5"/>
      <c r="U3" s="156"/>
      <c r="V3" s="157"/>
      <c r="W3" s="157"/>
      <c r="X3" s="157"/>
      <c r="Y3" s="157"/>
      <c r="Z3" s="157"/>
      <c r="AA3" s="157"/>
      <c r="AB3" s="157"/>
      <c r="AC3" s="155"/>
      <c r="AD3" s="158" t="s">
        <v>45</v>
      </c>
      <c r="AE3" s="161" t="s">
        <v>46</v>
      </c>
    </row>
    <row r="4" spans="2:32" s="29" customFormat="1" ht="24" customHeight="1">
      <c r="B4" s="35"/>
      <c r="C4" s="36" t="s">
        <v>47</v>
      </c>
      <c r="D4" s="161" t="s">
        <v>48</v>
      </c>
      <c r="E4" s="164"/>
      <c r="F4" s="164"/>
      <c r="G4" s="165" t="s">
        <v>49</v>
      </c>
      <c r="H4" s="166"/>
      <c r="I4" s="166"/>
      <c r="J4" s="167" t="s">
        <v>50</v>
      </c>
      <c r="K4" s="166"/>
      <c r="L4" s="166"/>
      <c r="M4" s="166"/>
      <c r="N4" s="166"/>
      <c r="O4" s="166"/>
      <c r="P4" s="166"/>
      <c r="Q4" s="168"/>
      <c r="R4" s="168"/>
      <c r="S4" s="37" t="s">
        <v>51</v>
      </c>
      <c r="T4" s="38" t="s">
        <v>52</v>
      </c>
      <c r="U4" s="149" t="s">
        <v>53</v>
      </c>
      <c r="V4" s="169"/>
      <c r="W4" s="170"/>
      <c r="X4" s="149" t="s">
        <v>54</v>
      </c>
      <c r="Y4" s="171"/>
      <c r="Z4" s="170"/>
      <c r="AA4" s="149" t="s">
        <v>55</v>
      </c>
      <c r="AB4" s="150"/>
      <c r="AC4" s="151"/>
      <c r="AD4" s="159"/>
      <c r="AE4" s="162"/>
      <c r="AF4" s="41"/>
    </row>
    <row r="5" spans="2:35" s="29" customFormat="1" ht="27" customHeight="1">
      <c r="B5" s="42" t="s">
        <v>56</v>
      </c>
      <c r="C5" s="42" t="s">
        <v>57</v>
      </c>
      <c r="D5" s="43" t="s">
        <v>58</v>
      </c>
      <c r="E5" s="43" t="s">
        <v>59</v>
      </c>
      <c r="F5" s="43" t="s">
        <v>60</v>
      </c>
      <c r="G5" s="44" t="s">
        <v>58</v>
      </c>
      <c r="H5" s="43" t="s">
        <v>59</v>
      </c>
      <c r="I5" s="43" t="s">
        <v>61</v>
      </c>
      <c r="J5" s="43" t="s">
        <v>62</v>
      </c>
      <c r="K5" s="45" t="s">
        <v>63</v>
      </c>
      <c r="L5" s="45" t="s">
        <v>64</v>
      </c>
      <c r="M5" s="43" t="s">
        <v>59</v>
      </c>
      <c r="N5" s="43" t="s">
        <v>65</v>
      </c>
      <c r="O5" s="43" t="s">
        <v>66</v>
      </c>
      <c r="P5" s="43" t="s">
        <v>59</v>
      </c>
      <c r="Q5" s="46" t="s">
        <v>67</v>
      </c>
      <c r="R5" s="47" t="s">
        <v>68</v>
      </c>
      <c r="S5" s="48" t="s">
        <v>69</v>
      </c>
      <c r="T5" s="48" t="s">
        <v>70</v>
      </c>
      <c r="U5" s="49" t="s">
        <v>71</v>
      </c>
      <c r="V5" s="49" t="s">
        <v>59</v>
      </c>
      <c r="W5" s="50" t="s">
        <v>72</v>
      </c>
      <c r="X5" s="51" t="s">
        <v>71</v>
      </c>
      <c r="Y5" s="51" t="s">
        <v>59</v>
      </c>
      <c r="Z5" s="52" t="s">
        <v>73</v>
      </c>
      <c r="AA5" s="53" t="s">
        <v>74</v>
      </c>
      <c r="AB5" s="53" t="s">
        <v>59</v>
      </c>
      <c r="AC5" s="52" t="s">
        <v>75</v>
      </c>
      <c r="AD5" s="160"/>
      <c r="AE5" s="163"/>
      <c r="AI5" s="41"/>
    </row>
    <row r="6" spans="2:32" ht="31.5" customHeight="1">
      <c r="B6" s="54">
        <v>190</v>
      </c>
      <c r="C6" s="55">
        <v>134.9</v>
      </c>
      <c r="D6" s="142">
        <f>ROUND(B6*C6,0)</f>
        <v>25631</v>
      </c>
      <c r="E6" s="143"/>
      <c r="F6" s="57">
        <f>D6*E6</f>
        <v>0</v>
      </c>
      <c r="G6" s="142">
        <f>VLOOKUP($B6,一般,11,0)</f>
        <v>1584</v>
      </c>
      <c r="H6" s="57">
        <f aca="true" t="shared" si="0" ref="H6:H29">$E6</f>
        <v>0</v>
      </c>
      <c r="I6" s="58">
        <f>G6*H6</f>
        <v>0</v>
      </c>
      <c r="J6" s="142">
        <f aca="true" t="shared" si="1" ref="J6:J18">VLOOKUP($B6,一般,7,0)</f>
        <v>1286</v>
      </c>
      <c r="K6" s="142">
        <f aca="true" t="shared" si="2" ref="K6:K18">VLOOKUP($B6,一般,8,0)</f>
        <v>68</v>
      </c>
      <c r="L6" s="142">
        <f>J6+K6</f>
        <v>1354</v>
      </c>
      <c r="M6" s="57">
        <f aca="true" t="shared" si="3" ref="M6:M29">$E6</f>
        <v>0</v>
      </c>
      <c r="N6" s="66">
        <f>L6*M6</f>
        <v>0</v>
      </c>
      <c r="O6" s="142">
        <f aca="true" t="shared" si="4" ref="O6:O18">VLOOKUP($B6,一般,5,0)</f>
        <v>2270</v>
      </c>
      <c r="P6" s="57">
        <f aca="true" t="shared" si="5" ref="P6:P29">$E6</f>
        <v>0</v>
      </c>
      <c r="Q6" s="58">
        <f>O6*P6:P6</f>
        <v>0</v>
      </c>
      <c r="R6" s="58">
        <f>N6+Q6</f>
        <v>0</v>
      </c>
      <c r="S6" s="58">
        <f>F6+I6+R6</f>
        <v>0</v>
      </c>
      <c r="T6" s="58">
        <f aca="true" t="shared" si="6" ref="T6:T29">S6*12</f>
        <v>0</v>
      </c>
      <c r="U6" s="142">
        <f>ROUND(D6*1.5,0)</f>
        <v>38447</v>
      </c>
      <c r="V6" s="57">
        <f aca="true" t="shared" si="7" ref="V6:V29">$E6</f>
        <v>0</v>
      </c>
      <c r="W6" s="57">
        <f>U6*V6</f>
        <v>0</v>
      </c>
      <c r="X6" s="60">
        <v>16000</v>
      </c>
      <c r="Y6" s="56"/>
      <c r="Z6" s="58">
        <f>X6*Y6</f>
        <v>0</v>
      </c>
      <c r="AA6" s="61">
        <v>1</v>
      </c>
      <c r="AB6" s="61"/>
      <c r="AC6" s="58">
        <f>AA6*AB6*600</f>
        <v>0</v>
      </c>
      <c r="AD6" s="58">
        <f>T6+W6+Z6+AC6</f>
        <v>0</v>
      </c>
      <c r="AE6" s="62"/>
      <c r="AF6" s="63"/>
    </row>
    <row r="7" spans="2:32" ht="31.5" customHeight="1">
      <c r="B7" s="54">
        <v>200</v>
      </c>
      <c r="C7" s="55">
        <v>134.9</v>
      </c>
      <c r="D7" s="142">
        <f aca="true" t="shared" si="8" ref="D7:D29">ROUND(B7*C7,0)</f>
        <v>26980</v>
      </c>
      <c r="E7" s="143"/>
      <c r="F7" s="57">
        <f aca="true" t="shared" si="9" ref="F7:F18">D7*E7</f>
        <v>0</v>
      </c>
      <c r="G7" s="142">
        <f aca="true" t="shared" si="10" ref="G7:G18">VLOOKUP($B7,一般,11,0)</f>
        <v>1656</v>
      </c>
      <c r="H7" s="57">
        <f t="shared" si="0"/>
        <v>0</v>
      </c>
      <c r="I7" s="58">
        <f aca="true" t="shared" si="11" ref="I7:I18">G7*H7</f>
        <v>0</v>
      </c>
      <c r="J7" s="142">
        <f t="shared" si="1"/>
        <v>1344</v>
      </c>
      <c r="K7" s="142">
        <f t="shared" si="2"/>
        <v>72</v>
      </c>
      <c r="L7" s="142">
        <f aca="true" t="shared" si="12" ref="L7:L18">J7+K7</f>
        <v>1416</v>
      </c>
      <c r="M7" s="57">
        <f t="shared" si="3"/>
        <v>0</v>
      </c>
      <c r="N7" s="66">
        <f aca="true" t="shared" si="13" ref="N7:N18">L7*M7</f>
        <v>0</v>
      </c>
      <c r="O7" s="142">
        <f t="shared" si="4"/>
        <v>2372</v>
      </c>
      <c r="P7" s="57">
        <f t="shared" si="5"/>
        <v>0</v>
      </c>
      <c r="Q7" s="58">
        <f aca="true" t="shared" si="14" ref="Q7:Q18">O7*P7:P7</f>
        <v>0</v>
      </c>
      <c r="R7" s="58">
        <f aca="true" t="shared" si="15" ref="R7:R18">N7+Q7</f>
        <v>0</v>
      </c>
      <c r="S7" s="58">
        <f aca="true" t="shared" si="16" ref="S7:S18">F7+I7+R7</f>
        <v>0</v>
      </c>
      <c r="T7" s="58">
        <f t="shared" si="6"/>
        <v>0</v>
      </c>
      <c r="U7" s="142">
        <f>ROUND(D7*1.5,0)</f>
        <v>40470</v>
      </c>
      <c r="V7" s="57">
        <f t="shared" si="7"/>
        <v>0</v>
      </c>
      <c r="W7" s="57">
        <f aca="true" t="shared" si="17" ref="W7:W18">U7*V7</f>
        <v>0</v>
      </c>
      <c r="X7" s="59"/>
      <c r="Y7" s="65"/>
      <c r="Z7" s="58">
        <f aca="true" t="shared" si="18" ref="Z7:Z18">X7*Y7</f>
        <v>0</v>
      </c>
      <c r="AA7" s="61">
        <f>AA6+1</f>
        <v>2</v>
      </c>
      <c r="AB7" s="61"/>
      <c r="AC7" s="58">
        <f aca="true" t="shared" si="19" ref="AC7:AC25">AA7*AB7*600</f>
        <v>0</v>
      </c>
      <c r="AD7" s="58">
        <f aca="true" t="shared" si="20" ref="AD7:AD29">T7+W7+Z7+AC7</f>
        <v>0</v>
      </c>
      <c r="AE7" s="62"/>
      <c r="AF7" s="63"/>
    </row>
    <row r="8" spans="2:32" ht="31.5" customHeight="1">
      <c r="B8" s="54">
        <v>210</v>
      </c>
      <c r="C8" s="55">
        <v>134.9</v>
      </c>
      <c r="D8" s="142">
        <f t="shared" si="8"/>
        <v>28329</v>
      </c>
      <c r="E8" s="143"/>
      <c r="F8" s="57">
        <f t="shared" si="9"/>
        <v>0</v>
      </c>
      <c r="G8" s="142">
        <f t="shared" si="10"/>
        <v>1728</v>
      </c>
      <c r="H8" s="57">
        <f t="shared" si="0"/>
        <v>0</v>
      </c>
      <c r="I8" s="58">
        <f t="shared" si="11"/>
        <v>0</v>
      </c>
      <c r="J8" s="142">
        <f t="shared" si="1"/>
        <v>1403</v>
      </c>
      <c r="K8" s="142">
        <f t="shared" si="2"/>
        <v>75</v>
      </c>
      <c r="L8" s="142">
        <f t="shared" si="12"/>
        <v>1478</v>
      </c>
      <c r="M8" s="57">
        <f t="shared" si="3"/>
        <v>0</v>
      </c>
      <c r="N8" s="66">
        <f t="shared" si="13"/>
        <v>0</v>
      </c>
      <c r="O8" s="142">
        <f t="shared" si="4"/>
        <v>2476</v>
      </c>
      <c r="P8" s="57">
        <f t="shared" si="5"/>
        <v>0</v>
      </c>
      <c r="Q8" s="58">
        <f t="shared" si="14"/>
        <v>0</v>
      </c>
      <c r="R8" s="58">
        <f t="shared" si="15"/>
        <v>0</v>
      </c>
      <c r="S8" s="58">
        <f t="shared" si="16"/>
        <v>0</v>
      </c>
      <c r="T8" s="58">
        <f t="shared" si="6"/>
        <v>0</v>
      </c>
      <c r="U8" s="142">
        <f aca="true" t="shared" si="21" ref="U8:U18">ROUND(D8*1.5,0)</f>
        <v>42494</v>
      </c>
      <c r="V8" s="57">
        <f t="shared" si="7"/>
        <v>0</v>
      </c>
      <c r="W8" s="57">
        <f t="shared" si="17"/>
        <v>0</v>
      </c>
      <c r="X8" s="59"/>
      <c r="Y8" s="65"/>
      <c r="Z8" s="58">
        <f t="shared" si="18"/>
        <v>0</v>
      </c>
      <c r="AA8" s="61">
        <f aca="true" t="shared" si="22" ref="AA8:AA25">AA7+1</f>
        <v>3</v>
      </c>
      <c r="AB8" s="61"/>
      <c r="AC8" s="58">
        <f t="shared" si="19"/>
        <v>0</v>
      </c>
      <c r="AD8" s="58">
        <f t="shared" si="20"/>
        <v>0</v>
      </c>
      <c r="AE8" s="62"/>
      <c r="AF8" s="63"/>
    </row>
    <row r="9" spans="2:32" ht="31.5" customHeight="1">
      <c r="B9" s="54">
        <v>220</v>
      </c>
      <c r="C9" s="55">
        <v>134.9</v>
      </c>
      <c r="D9" s="142">
        <f t="shared" si="8"/>
        <v>29678</v>
      </c>
      <c r="E9" s="143"/>
      <c r="F9" s="57">
        <f t="shared" si="9"/>
        <v>0</v>
      </c>
      <c r="G9" s="142">
        <f t="shared" si="10"/>
        <v>1818</v>
      </c>
      <c r="H9" s="57">
        <f t="shared" si="0"/>
        <v>0</v>
      </c>
      <c r="I9" s="58">
        <f t="shared" si="11"/>
        <v>0</v>
      </c>
      <c r="J9" s="142">
        <f t="shared" si="1"/>
        <v>1476</v>
      </c>
      <c r="K9" s="142">
        <f t="shared" si="2"/>
        <v>79</v>
      </c>
      <c r="L9" s="142">
        <f t="shared" si="12"/>
        <v>1555</v>
      </c>
      <c r="M9" s="57">
        <f t="shared" si="3"/>
        <v>0</v>
      </c>
      <c r="N9" s="66">
        <f t="shared" si="13"/>
        <v>0</v>
      </c>
      <c r="O9" s="142">
        <f t="shared" si="4"/>
        <v>2605</v>
      </c>
      <c r="P9" s="57">
        <f t="shared" si="5"/>
        <v>0</v>
      </c>
      <c r="Q9" s="58">
        <f t="shared" si="14"/>
        <v>0</v>
      </c>
      <c r="R9" s="58">
        <f t="shared" si="15"/>
        <v>0</v>
      </c>
      <c r="S9" s="58">
        <f t="shared" si="16"/>
        <v>0</v>
      </c>
      <c r="T9" s="58">
        <f t="shared" si="6"/>
        <v>0</v>
      </c>
      <c r="U9" s="142">
        <f t="shared" si="21"/>
        <v>44517</v>
      </c>
      <c r="V9" s="57">
        <f t="shared" si="7"/>
        <v>0</v>
      </c>
      <c r="W9" s="57">
        <f t="shared" si="17"/>
        <v>0</v>
      </c>
      <c r="X9" s="59"/>
      <c r="Y9" s="65"/>
      <c r="Z9" s="58">
        <f t="shared" si="18"/>
        <v>0</v>
      </c>
      <c r="AA9" s="61">
        <f t="shared" si="22"/>
        <v>4</v>
      </c>
      <c r="AB9" s="61"/>
      <c r="AC9" s="58">
        <f t="shared" si="19"/>
        <v>0</v>
      </c>
      <c r="AD9" s="58">
        <f t="shared" si="20"/>
        <v>0</v>
      </c>
      <c r="AE9" s="62"/>
      <c r="AF9" s="63"/>
    </row>
    <row r="10" spans="2:32" ht="31.5" customHeight="1">
      <c r="B10" s="54">
        <v>230</v>
      </c>
      <c r="C10" s="55">
        <v>134.9</v>
      </c>
      <c r="D10" s="142">
        <f t="shared" si="8"/>
        <v>31027</v>
      </c>
      <c r="E10" s="143"/>
      <c r="F10" s="57">
        <f t="shared" si="9"/>
        <v>0</v>
      </c>
      <c r="G10" s="142">
        <f t="shared" si="10"/>
        <v>1908</v>
      </c>
      <c r="H10" s="57">
        <f t="shared" si="0"/>
        <v>0</v>
      </c>
      <c r="I10" s="58">
        <f t="shared" si="11"/>
        <v>0</v>
      </c>
      <c r="J10" s="142">
        <f t="shared" si="1"/>
        <v>1549</v>
      </c>
      <c r="K10" s="142">
        <f t="shared" si="2"/>
        <v>82</v>
      </c>
      <c r="L10" s="142">
        <f t="shared" si="12"/>
        <v>1631</v>
      </c>
      <c r="M10" s="57">
        <f t="shared" si="3"/>
        <v>0</v>
      </c>
      <c r="N10" s="66">
        <f t="shared" si="13"/>
        <v>0</v>
      </c>
      <c r="O10" s="142">
        <f t="shared" si="4"/>
        <v>2734</v>
      </c>
      <c r="P10" s="57">
        <f t="shared" si="5"/>
        <v>0</v>
      </c>
      <c r="Q10" s="58">
        <f t="shared" si="14"/>
        <v>0</v>
      </c>
      <c r="R10" s="58">
        <f t="shared" si="15"/>
        <v>0</v>
      </c>
      <c r="S10" s="58">
        <f t="shared" si="16"/>
        <v>0</v>
      </c>
      <c r="T10" s="58">
        <f t="shared" si="6"/>
        <v>0</v>
      </c>
      <c r="U10" s="142">
        <f t="shared" si="21"/>
        <v>46541</v>
      </c>
      <c r="V10" s="57">
        <f t="shared" si="7"/>
        <v>0</v>
      </c>
      <c r="W10" s="57">
        <f t="shared" si="17"/>
        <v>0</v>
      </c>
      <c r="X10" s="59"/>
      <c r="Y10" s="65"/>
      <c r="Z10" s="58">
        <f t="shared" si="18"/>
        <v>0</v>
      </c>
      <c r="AA10" s="61">
        <f t="shared" si="22"/>
        <v>5</v>
      </c>
      <c r="AB10" s="61"/>
      <c r="AC10" s="58">
        <f t="shared" si="19"/>
        <v>0</v>
      </c>
      <c r="AD10" s="58">
        <f t="shared" si="20"/>
        <v>0</v>
      </c>
      <c r="AE10" s="62"/>
      <c r="AF10" s="63"/>
    </row>
    <row r="11" spans="2:31" ht="31.5" customHeight="1">
      <c r="B11" s="54">
        <v>240</v>
      </c>
      <c r="C11" s="55">
        <v>134.9</v>
      </c>
      <c r="D11" s="142">
        <f t="shared" si="8"/>
        <v>32376</v>
      </c>
      <c r="E11" s="143"/>
      <c r="F11" s="57">
        <f t="shared" si="9"/>
        <v>0</v>
      </c>
      <c r="G11" s="142">
        <f t="shared" si="10"/>
        <v>1998</v>
      </c>
      <c r="H11" s="57">
        <f t="shared" si="0"/>
        <v>0</v>
      </c>
      <c r="I11" s="58">
        <f t="shared" si="11"/>
        <v>0</v>
      </c>
      <c r="J11" s="142">
        <f t="shared" si="1"/>
        <v>1622</v>
      </c>
      <c r="K11" s="142">
        <f t="shared" si="2"/>
        <v>86</v>
      </c>
      <c r="L11" s="142">
        <f t="shared" si="12"/>
        <v>1708</v>
      </c>
      <c r="M11" s="57">
        <f t="shared" si="3"/>
        <v>0</v>
      </c>
      <c r="N11" s="66">
        <f t="shared" si="13"/>
        <v>0</v>
      </c>
      <c r="O11" s="142">
        <f t="shared" si="4"/>
        <v>2862</v>
      </c>
      <c r="P11" s="57">
        <f t="shared" si="5"/>
        <v>0</v>
      </c>
      <c r="Q11" s="58">
        <f t="shared" si="14"/>
        <v>0</v>
      </c>
      <c r="R11" s="58">
        <f t="shared" si="15"/>
        <v>0</v>
      </c>
      <c r="S11" s="58">
        <f t="shared" si="16"/>
        <v>0</v>
      </c>
      <c r="T11" s="58">
        <f t="shared" si="6"/>
        <v>0</v>
      </c>
      <c r="U11" s="142">
        <f t="shared" si="21"/>
        <v>48564</v>
      </c>
      <c r="V11" s="57">
        <f t="shared" si="7"/>
        <v>0</v>
      </c>
      <c r="W11" s="57">
        <f t="shared" si="17"/>
        <v>0</v>
      </c>
      <c r="X11" s="59"/>
      <c r="Y11" s="65"/>
      <c r="Z11" s="58">
        <f t="shared" si="18"/>
        <v>0</v>
      </c>
      <c r="AA11" s="61">
        <f t="shared" si="22"/>
        <v>6</v>
      </c>
      <c r="AB11" s="61"/>
      <c r="AC11" s="58">
        <f t="shared" si="19"/>
        <v>0</v>
      </c>
      <c r="AD11" s="58">
        <f t="shared" si="20"/>
        <v>0</v>
      </c>
      <c r="AE11" s="62"/>
    </row>
    <row r="12" spans="2:31" ht="31.5" customHeight="1">
      <c r="B12" s="54">
        <v>250</v>
      </c>
      <c r="C12" s="55">
        <v>134.9</v>
      </c>
      <c r="D12" s="142">
        <f t="shared" si="8"/>
        <v>33725</v>
      </c>
      <c r="E12" s="143"/>
      <c r="F12" s="57">
        <f t="shared" si="9"/>
        <v>0</v>
      </c>
      <c r="G12" s="142">
        <f t="shared" si="10"/>
        <v>2088</v>
      </c>
      <c r="H12" s="57">
        <f t="shared" si="0"/>
        <v>0</v>
      </c>
      <c r="I12" s="58">
        <f t="shared" si="11"/>
        <v>0</v>
      </c>
      <c r="J12" s="142">
        <f t="shared" si="1"/>
        <v>1695</v>
      </c>
      <c r="K12" s="142">
        <f t="shared" si="2"/>
        <v>89</v>
      </c>
      <c r="L12" s="142">
        <f t="shared" si="12"/>
        <v>1784</v>
      </c>
      <c r="M12" s="57">
        <f t="shared" si="3"/>
        <v>0</v>
      </c>
      <c r="N12" s="66">
        <f t="shared" si="13"/>
        <v>0</v>
      </c>
      <c r="O12" s="142">
        <f t="shared" si="4"/>
        <v>2992</v>
      </c>
      <c r="P12" s="57">
        <f t="shared" si="5"/>
        <v>0</v>
      </c>
      <c r="Q12" s="58">
        <f t="shared" si="14"/>
        <v>0</v>
      </c>
      <c r="R12" s="58">
        <f t="shared" si="15"/>
        <v>0</v>
      </c>
      <c r="S12" s="58">
        <f t="shared" si="16"/>
        <v>0</v>
      </c>
      <c r="T12" s="58">
        <f t="shared" si="6"/>
        <v>0</v>
      </c>
      <c r="U12" s="142">
        <f t="shared" si="21"/>
        <v>50588</v>
      </c>
      <c r="V12" s="57">
        <f t="shared" si="7"/>
        <v>0</v>
      </c>
      <c r="W12" s="57">
        <f t="shared" si="17"/>
        <v>0</v>
      </c>
      <c r="X12" s="59"/>
      <c r="Y12" s="65"/>
      <c r="Z12" s="58">
        <f t="shared" si="18"/>
        <v>0</v>
      </c>
      <c r="AA12" s="61">
        <f t="shared" si="22"/>
        <v>7</v>
      </c>
      <c r="AB12" s="61"/>
      <c r="AC12" s="58">
        <f t="shared" si="19"/>
        <v>0</v>
      </c>
      <c r="AD12" s="58">
        <f t="shared" si="20"/>
        <v>0</v>
      </c>
      <c r="AE12" s="62"/>
    </row>
    <row r="13" spans="2:31" ht="31.5" customHeight="1">
      <c r="B13" s="54">
        <v>260</v>
      </c>
      <c r="C13" s="55">
        <v>134.9</v>
      </c>
      <c r="D13" s="142">
        <f t="shared" si="8"/>
        <v>35074</v>
      </c>
      <c r="E13" s="143"/>
      <c r="F13" s="57">
        <f t="shared" si="9"/>
        <v>0</v>
      </c>
      <c r="G13" s="142">
        <f t="shared" si="10"/>
        <v>2178</v>
      </c>
      <c r="H13" s="57">
        <f t="shared" si="0"/>
        <v>0</v>
      </c>
      <c r="I13" s="58">
        <f t="shared" si="11"/>
        <v>0</v>
      </c>
      <c r="J13" s="142">
        <f t="shared" si="1"/>
        <v>1768</v>
      </c>
      <c r="K13" s="142">
        <f t="shared" si="2"/>
        <v>93</v>
      </c>
      <c r="L13" s="142">
        <f t="shared" si="12"/>
        <v>1861</v>
      </c>
      <c r="M13" s="57">
        <f t="shared" si="3"/>
        <v>0</v>
      </c>
      <c r="N13" s="66">
        <f t="shared" si="13"/>
        <v>0</v>
      </c>
      <c r="O13" s="142">
        <f t="shared" si="4"/>
        <v>3120</v>
      </c>
      <c r="P13" s="57">
        <f t="shared" si="5"/>
        <v>0</v>
      </c>
      <c r="Q13" s="58">
        <f t="shared" si="14"/>
        <v>0</v>
      </c>
      <c r="R13" s="58">
        <f t="shared" si="15"/>
        <v>0</v>
      </c>
      <c r="S13" s="58">
        <f t="shared" si="16"/>
        <v>0</v>
      </c>
      <c r="T13" s="58">
        <f t="shared" si="6"/>
        <v>0</v>
      </c>
      <c r="U13" s="142">
        <f t="shared" si="21"/>
        <v>52611</v>
      </c>
      <c r="V13" s="57">
        <f t="shared" si="7"/>
        <v>0</v>
      </c>
      <c r="W13" s="57">
        <f t="shared" si="17"/>
        <v>0</v>
      </c>
      <c r="X13" s="59"/>
      <c r="Y13" s="65"/>
      <c r="Z13" s="58">
        <f t="shared" si="18"/>
        <v>0</v>
      </c>
      <c r="AA13" s="61">
        <f t="shared" si="22"/>
        <v>8</v>
      </c>
      <c r="AB13" s="61"/>
      <c r="AC13" s="58">
        <f t="shared" si="19"/>
        <v>0</v>
      </c>
      <c r="AD13" s="58">
        <f t="shared" si="20"/>
        <v>0</v>
      </c>
      <c r="AE13" s="62"/>
    </row>
    <row r="14" spans="2:31" ht="31.5" customHeight="1">
      <c r="B14" s="54">
        <v>270</v>
      </c>
      <c r="C14" s="55">
        <v>134.9</v>
      </c>
      <c r="D14" s="142">
        <f t="shared" si="8"/>
        <v>36423</v>
      </c>
      <c r="E14" s="143"/>
      <c r="F14" s="57">
        <f t="shared" si="9"/>
        <v>0</v>
      </c>
      <c r="G14" s="142">
        <f t="shared" si="10"/>
        <v>2292</v>
      </c>
      <c r="H14" s="57">
        <f t="shared" si="0"/>
        <v>0</v>
      </c>
      <c r="I14" s="58">
        <f t="shared" si="11"/>
        <v>0</v>
      </c>
      <c r="J14" s="142">
        <f t="shared" si="1"/>
        <v>1860</v>
      </c>
      <c r="K14" s="142">
        <f t="shared" si="2"/>
        <v>97</v>
      </c>
      <c r="L14" s="142">
        <f t="shared" si="12"/>
        <v>1957</v>
      </c>
      <c r="M14" s="57">
        <f t="shared" si="3"/>
        <v>0</v>
      </c>
      <c r="N14" s="66">
        <f t="shared" si="13"/>
        <v>0</v>
      </c>
      <c r="O14" s="142">
        <f t="shared" si="4"/>
        <v>3283</v>
      </c>
      <c r="P14" s="57">
        <f t="shared" si="5"/>
        <v>0</v>
      </c>
      <c r="Q14" s="58">
        <f t="shared" si="14"/>
        <v>0</v>
      </c>
      <c r="R14" s="58">
        <f t="shared" si="15"/>
        <v>0</v>
      </c>
      <c r="S14" s="58">
        <f t="shared" si="16"/>
        <v>0</v>
      </c>
      <c r="T14" s="58">
        <f t="shared" si="6"/>
        <v>0</v>
      </c>
      <c r="U14" s="142">
        <f t="shared" si="21"/>
        <v>54635</v>
      </c>
      <c r="V14" s="57">
        <f t="shared" si="7"/>
        <v>0</v>
      </c>
      <c r="W14" s="57">
        <f t="shared" si="17"/>
        <v>0</v>
      </c>
      <c r="X14" s="59"/>
      <c r="Y14" s="65"/>
      <c r="Z14" s="58">
        <f t="shared" si="18"/>
        <v>0</v>
      </c>
      <c r="AA14" s="61">
        <f t="shared" si="22"/>
        <v>9</v>
      </c>
      <c r="AB14" s="61"/>
      <c r="AC14" s="58">
        <f t="shared" si="19"/>
        <v>0</v>
      </c>
      <c r="AD14" s="58">
        <f t="shared" si="20"/>
        <v>0</v>
      </c>
      <c r="AE14" s="62"/>
    </row>
    <row r="15" spans="2:32" ht="31.5" customHeight="1">
      <c r="B15" s="54">
        <v>280</v>
      </c>
      <c r="C15" s="55">
        <v>134.9</v>
      </c>
      <c r="D15" s="142">
        <f t="shared" si="8"/>
        <v>37772</v>
      </c>
      <c r="E15" s="143"/>
      <c r="F15" s="57">
        <f t="shared" si="9"/>
        <v>0</v>
      </c>
      <c r="G15" s="142">
        <f t="shared" si="10"/>
        <v>2292</v>
      </c>
      <c r="H15" s="57">
        <f t="shared" si="0"/>
        <v>0</v>
      </c>
      <c r="I15" s="58">
        <f t="shared" si="11"/>
        <v>0</v>
      </c>
      <c r="J15" s="142">
        <f t="shared" si="1"/>
        <v>1860</v>
      </c>
      <c r="K15" s="142">
        <f t="shared" si="2"/>
        <v>100</v>
      </c>
      <c r="L15" s="142">
        <f t="shared" si="12"/>
        <v>1960</v>
      </c>
      <c r="M15" s="57">
        <f t="shared" si="3"/>
        <v>0</v>
      </c>
      <c r="N15" s="66">
        <f t="shared" si="13"/>
        <v>0</v>
      </c>
      <c r="O15" s="142">
        <f t="shared" si="4"/>
        <v>3283</v>
      </c>
      <c r="P15" s="57">
        <f t="shared" si="5"/>
        <v>0</v>
      </c>
      <c r="Q15" s="58">
        <f t="shared" si="14"/>
        <v>0</v>
      </c>
      <c r="R15" s="58">
        <f t="shared" si="15"/>
        <v>0</v>
      </c>
      <c r="S15" s="58">
        <f t="shared" si="16"/>
        <v>0</v>
      </c>
      <c r="T15" s="58">
        <f t="shared" si="6"/>
        <v>0</v>
      </c>
      <c r="U15" s="142">
        <f t="shared" si="21"/>
        <v>56658</v>
      </c>
      <c r="V15" s="57">
        <f t="shared" si="7"/>
        <v>0</v>
      </c>
      <c r="W15" s="57">
        <f t="shared" si="17"/>
        <v>0</v>
      </c>
      <c r="X15" s="59"/>
      <c r="Y15" s="65"/>
      <c r="Z15" s="58">
        <f t="shared" si="18"/>
        <v>0</v>
      </c>
      <c r="AA15" s="61">
        <f t="shared" si="22"/>
        <v>10</v>
      </c>
      <c r="AB15" s="61"/>
      <c r="AC15" s="58">
        <f t="shared" si="19"/>
        <v>0</v>
      </c>
      <c r="AD15" s="58">
        <f t="shared" si="20"/>
        <v>0</v>
      </c>
      <c r="AE15" s="62"/>
      <c r="AF15" s="63"/>
    </row>
    <row r="16" spans="2:31" ht="31.5" customHeight="1">
      <c r="B16" s="54">
        <v>290</v>
      </c>
      <c r="C16" s="55">
        <v>134.9</v>
      </c>
      <c r="D16" s="142">
        <f t="shared" si="8"/>
        <v>39121</v>
      </c>
      <c r="E16" s="143"/>
      <c r="F16" s="57">
        <f t="shared" si="9"/>
        <v>0</v>
      </c>
      <c r="G16" s="142">
        <f t="shared" si="10"/>
        <v>2406</v>
      </c>
      <c r="H16" s="57">
        <f t="shared" si="0"/>
        <v>0</v>
      </c>
      <c r="I16" s="58">
        <f t="shared" si="11"/>
        <v>0</v>
      </c>
      <c r="J16" s="142">
        <f t="shared" si="1"/>
        <v>1953</v>
      </c>
      <c r="K16" s="142">
        <f t="shared" si="2"/>
        <v>104</v>
      </c>
      <c r="L16" s="142">
        <f t="shared" si="12"/>
        <v>2057</v>
      </c>
      <c r="M16" s="57">
        <f t="shared" si="3"/>
        <v>0</v>
      </c>
      <c r="N16" s="66">
        <f t="shared" si="13"/>
        <v>0</v>
      </c>
      <c r="O16" s="142">
        <f t="shared" si="4"/>
        <v>3447</v>
      </c>
      <c r="P16" s="57">
        <f t="shared" si="5"/>
        <v>0</v>
      </c>
      <c r="Q16" s="58">
        <f t="shared" si="14"/>
        <v>0</v>
      </c>
      <c r="R16" s="58">
        <f t="shared" si="15"/>
        <v>0</v>
      </c>
      <c r="S16" s="58">
        <f>F16+I16+R16</f>
        <v>0</v>
      </c>
      <c r="T16" s="58">
        <f t="shared" si="6"/>
        <v>0</v>
      </c>
      <c r="U16" s="142">
        <f t="shared" si="21"/>
        <v>58682</v>
      </c>
      <c r="V16" s="57">
        <f t="shared" si="7"/>
        <v>0</v>
      </c>
      <c r="W16" s="57">
        <f t="shared" si="17"/>
        <v>0</v>
      </c>
      <c r="X16" s="59"/>
      <c r="Y16" s="65"/>
      <c r="Z16" s="58">
        <f t="shared" si="18"/>
        <v>0</v>
      </c>
      <c r="AA16" s="61">
        <f t="shared" si="22"/>
        <v>11</v>
      </c>
      <c r="AB16" s="61"/>
      <c r="AC16" s="58">
        <f t="shared" si="19"/>
        <v>0</v>
      </c>
      <c r="AD16" s="58">
        <f t="shared" si="20"/>
        <v>0</v>
      </c>
      <c r="AE16" s="62"/>
    </row>
    <row r="17" spans="2:31" ht="31.5" customHeight="1">
      <c r="B17" s="54">
        <v>296</v>
      </c>
      <c r="C17" s="55">
        <v>134.9</v>
      </c>
      <c r="D17" s="142">
        <f t="shared" si="8"/>
        <v>39930</v>
      </c>
      <c r="E17" s="143"/>
      <c r="F17" s="57">
        <f t="shared" si="9"/>
        <v>0</v>
      </c>
      <c r="G17" s="142">
        <f t="shared" si="10"/>
        <v>2406</v>
      </c>
      <c r="H17" s="57">
        <f t="shared" si="0"/>
        <v>0</v>
      </c>
      <c r="I17" s="58">
        <f t="shared" si="11"/>
        <v>0</v>
      </c>
      <c r="J17" s="142">
        <f t="shared" si="1"/>
        <v>1953</v>
      </c>
      <c r="K17" s="142">
        <f t="shared" si="2"/>
        <v>106</v>
      </c>
      <c r="L17" s="142">
        <f t="shared" si="12"/>
        <v>2059</v>
      </c>
      <c r="M17" s="57">
        <f t="shared" si="3"/>
        <v>0</v>
      </c>
      <c r="N17" s="66">
        <f t="shared" si="13"/>
        <v>0</v>
      </c>
      <c r="O17" s="142">
        <f t="shared" si="4"/>
        <v>3447</v>
      </c>
      <c r="P17" s="57">
        <f t="shared" si="5"/>
        <v>0</v>
      </c>
      <c r="Q17" s="58">
        <f t="shared" si="14"/>
        <v>0</v>
      </c>
      <c r="R17" s="58">
        <f t="shared" si="15"/>
        <v>0</v>
      </c>
      <c r="S17" s="58">
        <f t="shared" si="16"/>
        <v>0</v>
      </c>
      <c r="T17" s="58">
        <f t="shared" si="6"/>
        <v>0</v>
      </c>
      <c r="U17" s="142">
        <f t="shared" si="21"/>
        <v>59895</v>
      </c>
      <c r="V17" s="57">
        <f t="shared" si="7"/>
        <v>0</v>
      </c>
      <c r="W17" s="57">
        <f t="shared" si="17"/>
        <v>0</v>
      </c>
      <c r="X17" s="59"/>
      <c r="Y17" s="65"/>
      <c r="Z17" s="58">
        <f t="shared" si="18"/>
        <v>0</v>
      </c>
      <c r="AA17" s="61">
        <f t="shared" si="22"/>
        <v>12</v>
      </c>
      <c r="AB17" s="61"/>
      <c r="AC17" s="58">
        <f t="shared" si="19"/>
        <v>0</v>
      </c>
      <c r="AD17" s="58">
        <f>T17+W17+Z17+AC17</f>
        <v>0</v>
      </c>
      <c r="AE17" s="62"/>
    </row>
    <row r="18" spans="2:31" ht="31.5" customHeight="1">
      <c r="B18" s="54">
        <v>300</v>
      </c>
      <c r="C18" s="55">
        <v>134.9</v>
      </c>
      <c r="D18" s="142">
        <f t="shared" si="8"/>
        <v>40470</v>
      </c>
      <c r="E18" s="143"/>
      <c r="F18" s="57">
        <f t="shared" si="9"/>
        <v>0</v>
      </c>
      <c r="G18" s="142">
        <f t="shared" si="10"/>
        <v>2520</v>
      </c>
      <c r="H18" s="57">
        <f t="shared" si="0"/>
        <v>0</v>
      </c>
      <c r="I18" s="58">
        <f t="shared" si="11"/>
        <v>0</v>
      </c>
      <c r="J18" s="142">
        <f t="shared" si="1"/>
        <v>2045</v>
      </c>
      <c r="K18" s="142">
        <f t="shared" si="2"/>
        <v>107</v>
      </c>
      <c r="L18" s="142">
        <f t="shared" si="12"/>
        <v>2152</v>
      </c>
      <c r="M18" s="57">
        <f t="shared" si="3"/>
        <v>0</v>
      </c>
      <c r="N18" s="66">
        <f t="shared" si="13"/>
        <v>0</v>
      </c>
      <c r="O18" s="142">
        <f t="shared" si="4"/>
        <v>3610</v>
      </c>
      <c r="P18" s="57">
        <f t="shared" si="5"/>
        <v>0</v>
      </c>
      <c r="Q18" s="58">
        <f t="shared" si="14"/>
        <v>0</v>
      </c>
      <c r="R18" s="58">
        <f t="shared" si="15"/>
        <v>0</v>
      </c>
      <c r="S18" s="58">
        <f t="shared" si="16"/>
        <v>0</v>
      </c>
      <c r="T18" s="58">
        <f t="shared" si="6"/>
        <v>0</v>
      </c>
      <c r="U18" s="142">
        <f t="shared" si="21"/>
        <v>60705</v>
      </c>
      <c r="V18" s="57">
        <f t="shared" si="7"/>
        <v>0</v>
      </c>
      <c r="W18" s="57">
        <f t="shared" si="17"/>
        <v>0</v>
      </c>
      <c r="X18" s="59"/>
      <c r="Y18" s="65"/>
      <c r="Z18" s="58">
        <f t="shared" si="18"/>
        <v>0</v>
      </c>
      <c r="AA18" s="61">
        <f t="shared" si="22"/>
        <v>13</v>
      </c>
      <c r="AB18" s="61"/>
      <c r="AC18" s="58">
        <f t="shared" si="19"/>
        <v>0</v>
      </c>
      <c r="AD18" s="58">
        <f t="shared" si="20"/>
        <v>0</v>
      </c>
      <c r="AE18" s="62"/>
    </row>
    <row r="19" spans="2:32" ht="31.5" customHeight="1">
      <c r="B19" s="54">
        <v>310</v>
      </c>
      <c r="C19" s="55">
        <v>134.9</v>
      </c>
      <c r="D19" s="142">
        <f t="shared" si="8"/>
        <v>41819</v>
      </c>
      <c r="E19" s="143"/>
      <c r="F19" s="57">
        <f>D19*E19</f>
        <v>0</v>
      </c>
      <c r="G19" s="142">
        <f aca="true" t="shared" si="23" ref="G19:G29">VLOOKUP($B19,一般,11,0)</f>
        <v>2520</v>
      </c>
      <c r="H19" s="57">
        <f t="shared" si="0"/>
        <v>0</v>
      </c>
      <c r="I19" s="58">
        <f>G19*H19</f>
        <v>0</v>
      </c>
      <c r="J19" s="142">
        <f aca="true" t="shared" si="24" ref="J19:J29">VLOOKUP($B19,一般,7,0)</f>
        <v>2045</v>
      </c>
      <c r="K19" s="142">
        <f aca="true" t="shared" si="25" ref="K19:K29">VLOOKUP($B19,一般,8,0)</f>
        <v>111</v>
      </c>
      <c r="L19" s="142">
        <f>J19+K19</f>
        <v>2156</v>
      </c>
      <c r="M19" s="57">
        <f t="shared" si="3"/>
        <v>0</v>
      </c>
      <c r="N19" s="66">
        <f>L19*M19</f>
        <v>0</v>
      </c>
      <c r="O19" s="142">
        <f aca="true" t="shared" si="26" ref="O19:O29">VLOOKUP($B19,一般,5,0)</f>
        <v>3610</v>
      </c>
      <c r="P19" s="57">
        <f t="shared" si="5"/>
        <v>0</v>
      </c>
      <c r="Q19" s="58">
        <f>O19*P19:P19</f>
        <v>0</v>
      </c>
      <c r="R19" s="58">
        <f>N19+Q19</f>
        <v>0</v>
      </c>
      <c r="S19" s="58">
        <f>F19+I19+R19</f>
        <v>0</v>
      </c>
      <c r="T19" s="58">
        <f t="shared" si="6"/>
        <v>0</v>
      </c>
      <c r="U19" s="142">
        <f>ROUND(D19*1.5,0)</f>
        <v>62729</v>
      </c>
      <c r="V19" s="57">
        <f t="shared" si="7"/>
        <v>0</v>
      </c>
      <c r="W19" s="57">
        <f>U19*V19</f>
        <v>0</v>
      </c>
      <c r="X19" s="59"/>
      <c r="Y19" s="65"/>
      <c r="Z19" s="58">
        <f>X19*Y19</f>
        <v>0</v>
      </c>
      <c r="AA19" s="61">
        <f t="shared" si="22"/>
        <v>14</v>
      </c>
      <c r="AB19" s="61"/>
      <c r="AC19" s="58">
        <f t="shared" si="19"/>
        <v>0</v>
      </c>
      <c r="AD19" s="58">
        <f t="shared" si="20"/>
        <v>0</v>
      </c>
      <c r="AE19" s="62"/>
      <c r="AF19" s="63"/>
    </row>
    <row r="20" spans="2:32" ht="31.5" customHeight="1">
      <c r="B20" s="54">
        <v>312</v>
      </c>
      <c r="C20" s="55">
        <v>134.9</v>
      </c>
      <c r="D20" s="142">
        <f t="shared" si="8"/>
        <v>42089</v>
      </c>
      <c r="E20" s="143"/>
      <c r="F20" s="57">
        <f aca="true" t="shared" si="27" ref="F20:F29">D20*E20</f>
        <v>0</v>
      </c>
      <c r="G20" s="142">
        <f t="shared" si="23"/>
        <v>2634</v>
      </c>
      <c r="H20" s="57">
        <f t="shared" si="0"/>
        <v>0</v>
      </c>
      <c r="I20" s="58">
        <f aca="true" t="shared" si="28" ref="I20:I29">G20*H20</f>
        <v>0</v>
      </c>
      <c r="J20" s="142">
        <f t="shared" si="24"/>
        <v>2138</v>
      </c>
      <c r="K20" s="142">
        <f t="shared" si="25"/>
        <v>112</v>
      </c>
      <c r="L20" s="142">
        <f aca="true" t="shared" si="29" ref="L20:L29">J20+K20</f>
        <v>2250</v>
      </c>
      <c r="M20" s="57">
        <f t="shared" si="3"/>
        <v>0</v>
      </c>
      <c r="N20" s="66">
        <f aca="true" t="shared" si="30" ref="N20:N29">L20*M20</f>
        <v>0</v>
      </c>
      <c r="O20" s="142">
        <f t="shared" si="26"/>
        <v>3773</v>
      </c>
      <c r="P20" s="57">
        <f t="shared" si="5"/>
        <v>0</v>
      </c>
      <c r="Q20" s="58">
        <f aca="true" t="shared" si="31" ref="Q20:Q29">O20*P20:P20</f>
        <v>0</v>
      </c>
      <c r="R20" s="58">
        <f aca="true" t="shared" si="32" ref="R20:R29">N20+Q20</f>
        <v>0</v>
      </c>
      <c r="S20" s="58">
        <f aca="true" t="shared" si="33" ref="S20:S29">F20+I20+R20</f>
        <v>0</v>
      </c>
      <c r="T20" s="58">
        <f t="shared" si="6"/>
        <v>0</v>
      </c>
      <c r="U20" s="142">
        <f>ROUND(D20*1.5,0)</f>
        <v>63134</v>
      </c>
      <c r="V20" s="57">
        <f t="shared" si="7"/>
        <v>0</v>
      </c>
      <c r="W20" s="57">
        <f aca="true" t="shared" si="34" ref="W20:W29">U20*V20</f>
        <v>0</v>
      </c>
      <c r="X20" s="59"/>
      <c r="Y20" s="65"/>
      <c r="Z20" s="58">
        <f aca="true" t="shared" si="35" ref="Z20:Z29">X20*Y20</f>
        <v>0</v>
      </c>
      <c r="AA20" s="61">
        <f t="shared" si="22"/>
        <v>15</v>
      </c>
      <c r="AB20" s="61"/>
      <c r="AC20" s="58">
        <f t="shared" si="19"/>
        <v>0</v>
      </c>
      <c r="AD20" s="58">
        <f t="shared" si="20"/>
        <v>0</v>
      </c>
      <c r="AE20" s="62"/>
      <c r="AF20" s="63"/>
    </row>
    <row r="21" spans="2:32" ht="31.5" customHeight="1">
      <c r="B21" s="54">
        <v>320</v>
      </c>
      <c r="C21" s="55">
        <v>134.9</v>
      </c>
      <c r="D21" s="142">
        <f t="shared" si="8"/>
        <v>43168</v>
      </c>
      <c r="E21" s="143"/>
      <c r="F21" s="57">
        <f t="shared" si="27"/>
        <v>0</v>
      </c>
      <c r="G21" s="142">
        <f t="shared" si="23"/>
        <v>2634</v>
      </c>
      <c r="H21" s="57">
        <f t="shared" si="0"/>
        <v>0</v>
      </c>
      <c r="I21" s="58">
        <f t="shared" si="28"/>
        <v>0</v>
      </c>
      <c r="J21" s="142">
        <f t="shared" si="24"/>
        <v>2138</v>
      </c>
      <c r="K21" s="142">
        <f t="shared" si="25"/>
        <v>114</v>
      </c>
      <c r="L21" s="142">
        <f t="shared" si="29"/>
        <v>2252</v>
      </c>
      <c r="M21" s="57">
        <f t="shared" si="3"/>
        <v>0</v>
      </c>
      <c r="N21" s="66">
        <f t="shared" si="30"/>
        <v>0</v>
      </c>
      <c r="O21" s="142">
        <f t="shared" si="26"/>
        <v>3773</v>
      </c>
      <c r="P21" s="57">
        <f t="shared" si="5"/>
        <v>0</v>
      </c>
      <c r="Q21" s="58">
        <f t="shared" si="31"/>
        <v>0</v>
      </c>
      <c r="R21" s="58">
        <f t="shared" si="32"/>
        <v>0</v>
      </c>
      <c r="S21" s="58">
        <f t="shared" si="33"/>
        <v>0</v>
      </c>
      <c r="T21" s="58">
        <f t="shared" si="6"/>
        <v>0</v>
      </c>
      <c r="U21" s="142">
        <f aca="true" t="shared" si="36" ref="U21:U29">ROUND(D21*1.5,0)</f>
        <v>64752</v>
      </c>
      <c r="V21" s="57">
        <f t="shared" si="7"/>
        <v>0</v>
      </c>
      <c r="W21" s="57">
        <f t="shared" si="34"/>
        <v>0</v>
      </c>
      <c r="X21" s="59"/>
      <c r="Y21" s="65"/>
      <c r="Z21" s="58">
        <f t="shared" si="35"/>
        <v>0</v>
      </c>
      <c r="AA21" s="61">
        <f t="shared" si="22"/>
        <v>16</v>
      </c>
      <c r="AB21" s="61"/>
      <c r="AC21" s="58">
        <f t="shared" si="19"/>
        <v>0</v>
      </c>
      <c r="AD21" s="58">
        <f t="shared" si="20"/>
        <v>0</v>
      </c>
      <c r="AE21" s="62"/>
      <c r="AF21" s="63"/>
    </row>
    <row r="22" spans="2:32" ht="31.5" customHeight="1">
      <c r="B22" s="54">
        <v>328</v>
      </c>
      <c r="C22" s="55">
        <v>134.9</v>
      </c>
      <c r="D22" s="142">
        <f t="shared" si="8"/>
        <v>44247</v>
      </c>
      <c r="E22" s="143"/>
      <c r="F22" s="57">
        <f t="shared" si="27"/>
        <v>0</v>
      </c>
      <c r="G22" s="142">
        <f t="shared" si="23"/>
        <v>2748</v>
      </c>
      <c r="H22" s="57">
        <f t="shared" si="0"/>
        <v>0</v>
      </c>
      <c r="I22" s="58">
        <f t="shared" si="28"/>
        <v>0</v>
      </c>
      <c r="J22" s="142">
        <f t="shared" si="24"/>
        <v>2231</v>
      </c>
      <c r="K22" s="142">
        <f t="shared" si="25"/>
        <v>117</v>
      </c>
      <c r="L22" s="142">
        <f t="shared" si="29"/>
        <v>2348</v>
      </c>
      <c r="M22" s="57">
        <f t="shared" si="3"/>
        <v>0</v>
      </c>
      <c r="N22" s="66">
        <f t="shared" si="30"/>
        <v>0</v>
      </c>
      <c r="O22" s="142">
        <f t="shared" si="26"/>
        <v>3937</v>
      </c>
      <c r="P22" s="57">
        <f t="shared" si="5"/>
        <v>0</v>
      </c>
      <c r="Q22" s="58">
        <f t="shared" si="31"/>
        <v>0</v>
      </c>
      <c r="R22" s="58">
        <f t="shared" si="32"/>
        <v>0</v>
      </c>
      <c r="S22" s="58">
        <f t="shared" si="33"/>
        <v>0</v>
      </c>
      <c r="T22" s="58">
        <f t="shared" si="6"/>
        <v>0</v>
      </c>
      <c r="U22" s="142">
        <f t="shared" si="36"/>
        <v>66371</v>
      </c>
      <c r="V22" s="57">
        <f t="shared" si="7"/>
        <v>0</v>
      </c>
      <c r="W22" s="57">
        <f t="shared" si="34"/>
        <v>0</v>
      </c>
      <c r="X22" s="59"/>
      <c r="Y22" s="65"/>
      <c r="Z22" s="58">
        <f t="shared" si="35"/>
        <v>0</v>
      </c>
      <c r="AA22" s="61">
        <f t="shared" si="22"/>
        <v>17</v>
      </c>
      <c r="AB22" s="61"/>
      <c r="AC22" s="58">
        <f t="shared" si="19"/>
        <v>0</v>
      </c>
      <c r="AD22" s="58">
        <f t="shared" si="20"/>
        <v>0</v>
      </c>
      <c r="AE22" s="62"/>
      <c r="AF22" s="63"/>
    </row>
    <row r="23" spans="2:32" ht="31.5" customHeight="1">
      <c r="B23" s="54">
        <v>330</v>
      </c>
      <c r="C23" s="55">
        <v>134.9</v>
      </c>
      <c r="D23" s="142">
        <f t="shared" si="8"/>
        <v>44517</v>
      </c>
      <c r="E23" s="143"/>
      <c r="F23" s="57">
        <f t="shared" si="27"/>
        <v>0</v>
      </c>
      <c r="G23" s="142">
        <f t="shared" si="23"/>
        <v>2748</v>
      </c>
      <c r="H23" s="57">
        <f t="shared" si="0"/>
        <v>0</v>
      </c>
      <c r="I23" s="58">
        <f t="shared" si="28"/>
        <v>0</v>
      </c>
      <c r="J23" s="142">
        <f t="shared" si="24"/>
        <v>2231</v>
      </c>
      <c r="K23" s="142">
        <f t="shared" si="25"/>
        <v>118</v>
      </c>
      <c r="L23" s="142">
        <f t="shared" si="29"/>
        <v>2349</v>
      </c>
      <c r="M23" s="57">
        <f t="shared" si="3"/>
        <v>0</v>
      </c>
      <c r="N23" s="66">
        <f t="shared" si="30"/>
        <v>0</v>
      </c>
      <c r="O23" s="142">
        <f t="shared" si="26"/>
        <v>3937</v>
      </c>
      <c r="P23" s="57">
        <f t="shared" si="5"/>
        <v>0</v>
      </c>
      <c r="Q23" s="58">
        <f t="shared" si="31"/>
        <v>0</v>
      </c>
      <c r="R23" s="58">
        <f t="shared" si="32"/>
        <v>0</v>
      </c>
      <c r="S23" s="58">
        <f t="shared" si="33"/>
        <v>0</v>
      </c>
      <c r="T23" s="58">
        <f t="shared" si="6"/>
        <v>0</v>
      </c>
      <c r="U23" s="142">
        <f t="shared" si="36"/>
        <v>66776</v>
      </c>
      <c r="V23" s="57">
        <f t="shared" si="7"/>
        <v>0</v>
      </c>
      <c r="W23" s="57">
        <f t="shared" si="34"/>
        <v>0</v>
      </c>
      <c r="X23" s="59"/>
      <c r="Y23" s="65"/>
      <c r="Z23" s="58">
        <f t="shared" si="35"/>
        <v>0</v>
      </c>
      <c r="AA23" s="61">
        <f t="shared" si="22"/>
        <v>18</v>
      </c>
      <c r="AB23" s="61"/>
      <c r="AC23" s="58">
        <f t="shared" si="19"/>
        <v>0</v>
      </c>
      <c r="AD23" s="58">
        <f t="shared" si="20"/>
        <v>0</v>
      </c>
      <c r="AE23" s="62"/>
      <c r="AF23" s="63"/>
    </row>
    <row r="24" spans="2:31" ht="31.5" customHeight="1">
      <c r="B24" s="54">
        <v>344</v>
      </c>
      <c r="C24" s="55">
        <v>134.9</v>
      </c>
      <c r="D24" s="142">
        <f t="shared" si="8"/>
        <v>46406</v>
      </c>
      <c r="E24" s="143"/>
      <c r="F24" s="57">
        <f t="shared" si="27"/>
        <v>0</v>
      </c>
      <c r="G24" s="142">
        <f t="shared" si="23"/>
        <v>2892</v>
      </c>
      <c r="H24" s="57">
        <f t="shared" si="0"/>
        <v>0</v>
      </c>
      <c r="I24" s="58">
        <f t="shared" si="28"/>
        <v>0</v>
      </c>
      <c r="J24" s="142">
        <f t="shared" si="24"/>
        <v>2347</v>
      </c>
      <c r="K24" s="142">
        <f t="shared" si="25"/>
        <v>123</v>
      </c>
      <c r="L24" s="142">
        <f t="shared" si="29"/>
        <v>2470</v>
      </c>
      <c r="M24" s="57">
        <f t="shared" si="3"/>
        <v>0</v>
      </c>
      <c r="N24" s="66">
        <f t="shared" si="30"/>
        <v>0</v>
      </c>
      <c r="O24" s="142">
        <f t="shared" si="26"/>
        <v>3937</v>
      </c>
      <c r="P24" s="57">
        <f t="shared" si="5"/>
        <v>0</v>
      </c>
      <c r="Q24" s="58">
        <f t="shared" si="31"/>
        <v>0</v>
      </c>
      <c r="R24" s="58">
        <f t="shared" si="32"/>
        <v>0</v>
      </c>
      <c r="S24" s="58">
        <f t="shared" si="33"/>
        <v>0</v>
      </c>
      <c r="T24" s="58">
        <f t="shared" si="6"/>
        <v>0</v>
      </c>
      <c r="U24" s="142">
        <f t="shared" si="36"/>
        <v>69609</v>
      </c>
      <c r="V24" s="57">
        <f t="shared" si="7"/>
        <v>0</v>
      </c>
      <c r="W24" s="57">
        <f t="shared" si="34"/>
        <v>0</v>
      </c>
      <c r="X24" s="59"/>
      <c r="Y24" s="65"/>
      <c r="Z24" s="58">
        <f t="shared" si="35"/>
        <v>0</v>
      </c>
      <c r="AA24" s="61">
        <f t="shared" si="22"/>
        <v>19</v>
      </c>
      <c r="AB24" s="61"/>
      <c r="AC24" s="58">
        <f t="shared" si="19"/>
        <v>0</v>
      </c>
      <c r="AD24" s="58">
        <f t="shared" si="20"/>
        <v>0</v>
      </c>
      <c r="AE24" s="62"/>
    </row>
    <row r="25" spans="2:31" ht="31.5" customHeight="1">
      <c r="B25" s="54">
        <v>360</v>
      </c>
      <c r="C25" s="55">
        <v>134.9</v>
      </c>
      <c r="D25" s="142">
        <f t="shared" si="8"/>
        <v>48564</v>
      </c>
      <c r="E25" s="143"/>
      <c r="F25" s="57">
        <f t="shared" si="27"/>
        <v>0</v>
      </c>
      <c r="G25" s="142">
        <f t="shared" si="23"/>
        <v>3036</v>
      </c>
      <c r="H25" s="57">
        <f t="shared" si="0"/>
        <v>0</v>
      </c>
      <c r="I25" s="58">
        <f t="shared" si="28"/>
        <v>0</v>
      </c>
      <c r="J25" s="142">
        <f t="shared" si="24"/>
        <v>2464</v>
      </c>
      <c r="K25" s="142">
        <f t="shared" si="25"/>
        <v>129</v>
      </c>
      <c r="L25" s="142">
        <f t="shared" si="29"/>
        <v>2593</v>
      </c>
      <c r="M25" s="57">
        <f t="shared" si="3"/>
        <v>0</v>
      </c>
      <c r="N25" s="66">
        <f t="shared" si="30"/>
        <v>0</v>
      </c>
      <c r="O25" s="142">
        <f t="shared" si="26"/>
        <v>3937</v>
      </c>
      <c r="P25" s="57">
        <f t="shared" si="5"/>
        <v>0</v>
      </c>
      <c r="Q25" s="58">
        <f t="shared" si="31"/>
        <v>0</v>
      </c>
      <c r="R25" s="58">
        <f t="shared" si="32"/>
        <v>0</v>
      </c>
      <c r="S25" s="58">
        <f t="shared" si="33"/>
        <v>0</v>
      </c>
      <c r="T25" s="58">
        <f t="shared" si="6"/>
        <v>0</v>
      </c>
      <c r="U25" s="142">
        <f t="shared" si="36"/>
        <v>72846</v>
      </c>
      <c r="V25" s="57">
        <f t="shared" si="7"/>
        <v>0</v>
      </c>
      <c r="W25" s="57">
        <f t="shared" si="34"/>
        <v>0</v>
      </c>
      <c r="X25" s="59"/>
      <c r="Y25" s="65"/>
      <c r="Z25" s="58">
        <f t="shared" si="35"/>
        <v>0</v>
      </c>
      <c r="AA25" s="61">
        <f t="shared" si="22"/>
        <v>20</v>
      </c>
      <c r="AB25" s="61"/>
      <c r="AC25" s="58">
        <f t="shared" si="19"/>
        <v>0</v>
      </c>
      <c r="AD25" s="58">
        <f t="shared" si="20"/>
        <v>0</v>
      </c>
      <c r="AE25" s="62"/>
    </row>
    <row r="26" spans="2:31" ht="31.5" customHeight="1">
      <c r="B26" s="54">
        <v>376</v>
      </c>
      <c r="C26" s="55">
        <v>134.9</v>
      </c>
      <c r="D26" s="142">
        <f t="shared" si="8"/>
        <v>50722</v>
      </c>
      <c r="E26" s="143"/>
      <c r="F26" s="57">
        <f t="shared" si="27"/>
        <v>0</v>
      </c>
      <c r="G26" s="142">
        <f t="shared" si="23"/>
        <v>3180</v>
      </c>
      <c r="H26" s="57">
        <f t="shared" si="0"/>
        <v>0</v>
      </c>
      <c r="I26" s="58">
        <f t="shared" si="28"/>
        <v>0</v>
      </c>
      <c r="J26" s="142">
        <f t="shared" si="24"/>
        <v>2581</v>
      </c>
      <c r="K26" s="142">
        <f t="shared" si="25"/>
        <v>134</v>
      </c>
      <c r="L26" s="142">
        <f t="shared" si="29"/>
        <v>2715</v>
      </c>
      <c r="M26" s="57">
        <f t="shared" si="3"/>
        <v>0</v>
      </c>
      <c r="N26" s="66">
        <f t="shared" si="30"/>
        <v>0</v>
      </c>
      <c r="O26" s="142">
        <f t="shared" si="26"/>
        <v>3937</v>
      </c>
      <c r="P26" s="57">
        <f t="shared" si="5"/>
        <v>0</v>
      </c>
      <c r="Q26" s="58">
        <f t="shared" si="31"/>
        <v>0</v>
      </c>
      <c r="R26" s="58">
        <f t="shared" si="32"/>
        <v>0</v>
      </c>
      <c r="S26" s="58">
        <f t="shared" si="33"/>
        <v>0</v>
      </c>
      <c r="T26" s="58">
        <f t="shared" si="6"/>
        <v>0</v>
      </c>
      <c r="U26" s="142">
        <f t="shared" si="36"/>
        <v>76083</v>
      </c>
      <c r="V26" s="57">
        <f t="shared" si="7"/>
        <v>0</v>
      </c>
      <c r="W26" s="57">
        <f t="shared" si="34"/>
        <v>0</v>
      </c>
      <c r="X26" s="59"/>
      <c r="Y26" s="65"/>
      <c r="Z26" s="58">
        <f t="shared" si="35"/>
        <v>0</v>
      </c>
      <c r="AA26" s="66"/>
      <c r="AB26" s="66"/>
      <c r="AC26" s="58"/>
      <c r="AD26" s="58">
        <f t="shared" si="20"/>
        <v>0</v>
      </c>
      <c r="AE26" s="62"/>
    </row>
    <row r="27" spans="2:31" ht="31.5" customHeight="1">
      <c r="B27" s="54">
        <v>392</v>
      </c>
      <c r="C27" s="55">
        <v>134.9</v>
      </c>
      <c r="D27" s="142">
        <f t="shared" si="8"/>
        <v>52881</v>
      </c>
      <c r="E27" s="143"/>
      <c r="F27" s="57">
        <f t="shared" si="27"/>
        <v>0</v>
      </c>
      <c r="G27" s="142">
        <f t="shared" si="23"/>
        <v>3180</v>
      </c>
      <c r="H27" s="57">
        <f t="shared" si="0"/>
        <v>0</v>
      </c>
      <c r="I27" s="58">
        <f t="shared" si="28"/>
        <v>0</v>
      </c>
      <c r="J27" s="142">
        <f t="shared" si="24"/>
        <v>2581</v>
      </c>
      <c r="K27" s="142">
        <f t="shared" si="25"/>
        <v>140</v>
      </c>
      <c r="L27" s="142">
        <f t="shared" si="29"/>
        <v>2721</v>
      </c>
      <c r="M27" s="57">
        <f t="shared" si="3"/>
        <v>0</v>
      </c>
      <c r="N27" s="66">
        <f t="shared" si="30"/>
        <v>0</v>
      </c>
      <c r="O27" s="142">
        <f t="shared" si="26"/>
        <v>3937</v>
      </c>
      <c r="P27" s="57">
        <f t="shared" si="5"/>
        <v>0</v>
      </c>
      <c r="Q27" s="58">
        <f t="shared" si="31"/>
        <v>0</v>
      </c>
      <c r="R27" s="58">
        <f t="shared" si="32"/>
        <v>0</v>
      </c>
      <c r="S27" s="58">
        <f t="shared" si="33"/>
        <v>0</v>
      </c>
      <c r="T27" s="58">
        <f t="shared" si="6"/>
        <v>0</v>
      </c>
      <c r="U27" s="142">
        <f t="shared" si="36"/>
        <v>79322</v>
      </c>
      <c r="V27" s="57">
        <f t="shared" si="7"/>
        <v>0</v>
      </c>
      <c r="W27" s="57">
        <f t="shared" si="34"/>
        <v>0</v>
      </c>
      <c r="X27" s="59"/>
      <c r="Y27" s="65"/>
      <c r="Z27" s="58">
        <f t="shared" si="35"/>
        <v>0</v>
      </c>
      <c r="AA27" s="66"/>
      <c r="AB27" s="66"/>
      <c r="AC27" s="58"/>
      <c r="AD27" s="58">
        <f t="shared" si="20"/>
        <v>0</v>
      </c>
      <c r="AE27" s="62"/>
    </row>
    <row r="28" spans="2:32" ht="31.5" customHeight="1">
      <c r="B28" s="54">
        <v>408</v>
      </c>
      <c r="C28" s="55">
        <v>134.9</v>
      </c>
      <c r="D28" s="142">
        <f t="shared" si="8"/>
        <v>55039</v>
      </c>
      <c r="E28" s="143"/>
      <c r="F28" s="57">
        <f t="shared" si="27"/>
        <v>0</v>
      </c>
      <c r="G28" s="142">
        <f t="shared" si="23"/>
        <v>3324</v>
      </c>
      <c r="H28" s="57">
        <f t="shared" si="0"/>
        <v>0</v>
      </c>
      <c r="I28" s="58">
        <f t="shared" si="28"/>
        <v>0</v>
      </c>
      <c r="J28" s="142">
        <f t="shared" si="24"/>
        <v>2698</v>
      </c>
      <c r="K28" s="142">
        <f t="shared" si="25"/>
        <v>146</v>
      </c>
      <c r="L28" s="142">
        <f t="shared" si="29"/>
        <v>2844</v>
      </c>
      <c r="M28" s="57">
        <f t="shared" si="3"/>
        <v>0</v>
      </c>
      <c r="N28" s="66">
        <f t="shared" si="30"/>
        <v>0</v>
      </c>
      <c r="O28" s="142">
        <f t="shared" si="26"/>
        <v>3937</v>
      </c>
      <c r="P28" s="57">
        <f t="shared" si="5"/>
        <v>0</v>
      </c>
      <c r="Q28" s="58">
        <f t="shared" si="31"/>
        <v>0</v>
      </c>
      <c r="R28" s="58">
        <f t="shared" si="32"/>
        <v>0</v>
      </c>
      <c r="S28" s="58">
        <f t="shared" si="33"/>
        <v>0</v>
      </c>
      <c r="T28" s="58">
        <f t="shared" si="6"/>
        <v>0</v>
      </c>
      <c r="U28" s="142">
        <f t="shared" si="36"/>
        <v>82559</v>
      </c>
      <c r="V28" s="57">
        <f t="shared" si="7"/>
        <v>0</v>
      </c>
      <c r="W28" s="57">
        <f t="shared" si="34"/>
        <v>0</v>
      </c>
      <c r="X28" s="59"/>
      <c r="Y28" s="65"/>
      <c r="Z28" s="58">
        <f t="shared" si="35"/>
        <v>0</v>
      </c>
      <c r="AA28" s="66"/>
      <c r="AB28" s="66"/>
      <c r="AC28" s="58"/>
      <c r="AD28" s="58">
        <f t="shared" si="20"/>
        <v>0</v>
      </c>
      <c r="AE28" s="62"/>
      <c r="AF28" s="63"/>
    </row>
    <row r="29" spans="2:31" ht="31.5" customHeight="1">
      <c r="B29" s="54">
        <v>424</v>
      </c>
      <c r="C29" s="55">
        <v>134.9</v>
      </c>
      <c r="D29" s="142">
        <f t="shared" si="8"/>
        <v>57198</v>
      </c>
      <c r="E29" s="143"/>
      <c r="F29" s="57">
        <f t="shared" si="27"/>
        <v>0</v>
      </c>
      <c r="G29" s="142">
        <f t="shared" si="23"/>
        <v>3468</v>
      </c>
      <c r="H29" s="57">
        <f t="shared" si="0"/>
        <v>0</v>
      </c>
      <c r="I29" s="58">
        <f t="shared" si="28"/>
        <v>0</v>
      </c>
      <c r="J29" s="142">
        <f t="shared" si="24"/>
        <v>2815</v>
      </c>
      <c r="K29" s="142">
        <f t="shared" si="25"/>
        <v>151</v>
      </c>
      <c r="L29" s="142">
        <f t="shared" si="29"/>
        <v>2966</v>
      </c>
      <c r="M29" s="57">
        <f t="shared" si="3"/>
        <v>0</v>
      </c>
      <c r="N29" s="66">
        <f t="shared" si="30"/>
        <v>0</v>
      </c>
      <c r="O29" s="142">
        <f t="shared" si="26"/>
        <v>3937</v>
      </c>
      <c r="P29" s="57">
        <f t="shared" si="5"/>
        <v>0</v>
      </c>
      <c r="Q29" s="58">
        <f t="shared" si="31"/>
        <v>0</v>
      </c>
      <c r="R29" s="58">
        <f t="shared" si="32"/>
        <v>0</v>
      </c>
      <c r="S29" s="58">
        <f t="shared" si="33"/>
        <v>0</v>
      </c>
      <c r="T29" s="58">
        <f t="shared" si="6"/>
        <v>0</v>
      </c>
      <c r="U29" s="142">
        <f t="shared" si="36"/>
        <v>85797</v>
      </c>
      <c r="V29" s="57">
        <f t="shared" si="7"/>
        <v>0</v>
      </c>
      <c r="W29" s="57">
        <f t="shared" si="34"/>
        <v>0</v>
      </c>
      <c r="X29" s="59"/>
      <c r="Y29" s="65"/>
      <c r="Z29" s="58">
        <f t="shared" si="35"/>
        <v>0</v>
      </c>
      <c r="AA29" s="66"/>
      <c r="AB29" s="66"/>
      <c r="AC29" s="58"/>
      <c r="AD29" s="58">
        <f t="shared" si="20"/>
        <v>0</v>
      </c>
      <c r="AE29" s="62"/>
    </row>
    <row r="30" spans="2:31" s="76" customFormat="1" ht="31.5" customHeight="1">
      <c r="B30" s="67" t="s">
        <v>76</v>
      </c>
      <c r="C30" s="68"/>
      <c r="D30" s="69"/>
      <c r="E30" s="70">
        <f>SUM(E6:E29)</f>
        <v>0</v>
      </c>
      <c r="F30" s="69">
        <f>SUM(F6:F29)</f>
        <v>0</v>
      </c>
      <c r="G30" s="69"/>
      <c r="H30" s="69">
        <f>SUM(H6:H29)</f>
        <v>0</v>
      </c>
      <c r="I30" s="69">
        <f>SUM(I6:I29)</f>
        <v>0</v>
      </c>
      <c r="J30" s="69"/>
      <c r="K30" s="69"/>
      <c r="L30" s="69"/>
      <c r="M30" s="69">
        <f>SUM(M6:M29)</f>
        <v>0</v>
      </c>
      <c r="N30" s="69">
        <f>SUM(N6:N29)</f>
        <v>0</v>
      </c>
      <c r="O30" s="69"/>
      <c r="P30" s="69">
        <f>SUM(P6:P29)</f>
        <v>0</v>
      </c>
      <c r="Q30" s="69">
        <f>SUM(Q6:Q29)</f>
        <v>0</v>
      </c>
      <c r="R30" s="69">
        <f>SUM(R6:R29)</f>
        <v>0</v>
      </c>
      <c r="S30" s="69">
        <f>SUM(S6:S29)</f>
        <v>0</v>
      </c>
      <c r="T30" s="71" t="s">
        <v>77</v>
      </c>
      <c r="U30" s="72"/>
      <c r="V30" s="71" t="s">
        <v>77</v>
      </c>
      <c r="W30" s="71" t="s">
        <v>77</v>
      </c>
      <c r="X30" s="69"/>
      <c r="Y30" s="71" t="s">
        <v>77</v>
      </c>
      <c r="Z30" s="71" t="s">
        <v>77</v>
      </c>
      <c r="AA30" s="73"/>
      <c r="AB30" s="71" t="s">
        <v>77</v>
      </c>
      <c r="AC30" s="71" t="s">
        <v>77</v>
      </c>
      <c r="AD30" s="74" t="s">
        <v>78</v>
      </c>
      <c r="AE30" s="75"/>
    </row>
    <row r="31" spans="2:32" s="76" customFormat="1" ht="31.5" customHeight="1">
      <c r="B31" s="77" t="s">
        <v>79</v>
      </c>
      <c r="C31" s="78"/>
      <c r="D31" s="79"/>
      <c r="E31" s="80">
        <f>E30</f>
        <v>0</v>
      </c>
      <c r="F31" s="79">
        <f>F30*12</f>
        <v>0</v>
      </c>
      <c r="G31" s="79"/>
      <c r="H31" s="79">
        <f>H30</f>
        <v>0</v>
      </c>
      <c r="I31" s="79">
        <f>I30*12</f>
        <v>0</v>
      </c>
      <c r="J31" s="79"/>
      <c r="K31" s="79"/>
      <c r="L31" s="79"/>
      <c r="M31" s="79">
        <f>M30</f>
        <v>0</v>
      </c>
      <c r="N31" s="79">
        <f>N30*12</f>
        <v>0</v>
      </c>
      <c r="O31" s="79"/>
      <c r="P31" s="79">
        <f>P30</f>
        <v>0</v>
      </c>
      <c r="Q31" s="79">
        <f>Q30*12</f>
        <v>0</v>
      </c>
      <c r="R31" s="79">
        <f>R30*12</f>
        <v>0</v>
      </c>
      <c r="S31" s="71" t="s">
        <v>77</v>
      </c>
      <c r="T31" s="69">
        <f>SUM(T6:T29)</f>
        <v>0</v>
      </c>
      <c r="U31" s="72"/>
      <c r="V31" s="69">
        <f>SUM(V6:V29)</f>
        <v>0</v>
      </c>
      <c r="W31" s="69">
        <f>SUM(W6:W29)</f>
        <v>0</v>
      </c>
      <c r="X31" s="69"/>
      <c r="Y31" s="69">
        <f>SUM(Y6:Y29)</f>
        <v>0</v>
      </c>
      <c r="Z31" s="69">
        <f>SUM(Z6:Z29)</f>
        <v>0</v>
      </c>
      <c r="AA31" s="69"/>
      <c r="AB31" s="69">
        <f>SUM(AB6:AB29)</f>
        <v>0</v>
      </c>
      <c r="AC31" s="69">
        <f>SUM(AC6:AC29)</f>
        <v>0</v>
      </c>
      <c r="AD31" s="81">
        <f>SUM(AD6:AD29)</f>
        <v>0</v>
      </c>
      <c r="AE31" s="82"/>
      <c r="AF31" s="83"/>
    </row>
    <row r="32" spans="2:19" ht="16.5">
      <c r="B32" s="84" t="s">
        <v>80</v>
      </c>
      <c r="D32" s="85"/>
      <c r="J32" s="84" t="s">
        <v>81</v>
      </c>
      <c r="S32" s="84" t="s">
        <v>82</v>
      </c>
    </row>
  </sheetData>
  <sheetProtection/>
  <mergeCells count="11">
    <mergeCell ref="X4:Z4"/>
    <mergeCell ref="AA4:AC4"/>
    <mergeCell ref="B1:AE1"/>
    <mergeCell ref="D3:T3"/>
    <mergeCell ref="U3:AC3"/>
    <mergeCell ref="AD3:AD5"/>
    <mergeCell ref="AE3:AE5"/>
    <mergeCell ref="D4:F4"/>
    <mergeCell ref="G4:I4"/>
    <mergeCell ref="J4:R4"/>
    <mergeCell ref="U4:W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="80" zoomScaleNormal="80" zoomScalePageLayoutView="0" workbookViewId="0" topLeftCell="A1">
      <pane xSplit="3" ySplit="4" topLeftCell="D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E33" sqref="E33"/>
    </sheetView>
  </sheetViews>
  <sheetFormatPr defaultColWidth="9.00390625" defaultRowHeight="16.5"/>
  <cols>
    <col min="1" max="1" width="6.25390625" style="64" hidden="1" customWidth="1"/>
    <col min="2" max="2" width="5.625" style="64" customWidth="1"/>
    <col min="3" max="3" width="6.625" style="64" customWidth="1"/>
    <col min="4" max="4" width="8.625" style="64" customWidth="1"/>
    <col min="5" max="5" width="4.125" style="86" customWidth="1"/>
    <col min="6" max="6" width="11.875" style="64" customWidth="1"/>
    <col min="7" max="7" width="8.00390625" style="64" customWidth="1"/>
    <col min="8" max="8" width="4.125" style="64" customWidth="1"/>
    <col min="9" max="9" width="10.125" style="64" customWidth="1"/>
    <col min="10" max="10" width="10.00390625" style="64" bestFit="1" customWidth="1"/>
    <col min="11" max="11" width="5.875" style="64" bestFit="1" customWidth="1"/>
    <col min="12" max="12" width="10.00390625" style="64" bestFit="1" customWidth="1"/>
    <col min="13" max="13" width="4.125" style="86" customWidth="1"/>
    <col min="14" max="15" width="10.00390625" style="86" bestFit="1" customWidth="1"/>
    <col min="16" max="16" width="4.125" style="64" customWidth="1"/>
    <col min="17" max="17" width="11.50390625" style="64" bestFit="1" customWidth="1"/>
    <col min="18" max="18" width="12.25390625" style="64" bestFit="1" customWidth="1"/>
    <col min="19" max="19" width="10.75390625" style="64" customWidth="1"/>
    <col min="20" max="20" width="5.25390625" style="64" bestFit="1" customWidth="1"/>
    <col min="21" max="21" width="12.25390625" style="64" customWidth="1"/>
    <col min="22" max="22" width="14.00390625" style="64" bestFit="1" customWidth="1"/>
    <col min="23" max="23" width="12.50390625" style="64" bestFit="1" customWidth="1"/>
    <col min="24" max="24" width="9.00390625" style="64" customWidth="1"/>
    <col min="25" max="25" width="4.625" style="64" customWidth="1"/>
    <col min="26" max="26" width="12.00390625" style="64" bestFit="1" customWidth="1"/>
    <col min="27" max="27" width="10.25390625" style="64" bestFit="1" customWidth="1"/>
    <col min="28" max="28" width="4.625" style="64" customWidth="1"/>
    <col min="29" max="29" width="10.50390625" style="64" customWidth="1"/>
    <col min="30" max="31" width="5.50390625" style="64" customWidth="1"/>
    <col min="32" max="32" width="9.625" style="64" customWidth="1"/>
    <col min="33" max="33" width="14.75390625" style="64" customWidth="1"/>
    <col min="34" max="34" width="7.625" style="87" customWidth="1"/>
    <col min="35" max="35" width="3.25390625" style="64" customWidth="1"/>
    <col min="36" max="37" width="2.625" style="64" customWidth="1"/>
    <col min="38" max="16384" width="9.00390625" style="64" customWidth="1"/>
  </cols>
  <sheetData>
    <row r="1" spans="2:34" s="29" customFormat="1" ht="24" customHeight="1">
      <c r="B1" s="172" t="s">
        <v>83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2:34" s="29" customFormat="1" ht="24" customHeight="1">
      <c r="B2" s="30" t="s">
        <v>84</v>
      </c>
      <c r="C2" s="31"/>
      <c r="D2" s="31"/>
      <c r="E2" s="31"/>
      <c r="F2" s="31"/>
      <c r="G2" s="32" t="s">
        <v>85</v>
      </c>
      <c r="H2" s="31"/>
      <c r="I2" s="31"/>
      <c r="J2" s="31" t="s">
        <v>86</v>
      </c>
      <c r="K2" s="31"/>
      <c r="L2" s="32"/>
      <c r="M2" s="32"/>
      <c r="N2" s="31"/>
      <c r="O2" s="31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2:34" s="29" customFormat="1" ht="24" customHeight="1">
      <c r="B3" s="34" t="s">
        <v>87</v>
      </c>
      <c r="C3" s="34" t="s">
        <v>88</v>
      </c>
      <c r="D3" s="153" t="s">
        <v>89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/>
      <c r="X3" s="157"/>
      <c r="Y3" s="157"/>
      <c r="Z3" s="157"/>
      <c r="AA3" s="157"/>
      <c r="AB3" s="157"/>
      <c r="AC3" s="155"/>
      <c r="AD3" s="156"/>
      <c r="AE3" s="157"/>
      <c r="AF3" s="155"/>
      <c r="AG3" s="158" t="s">
        <v>90</v>
      </c>
      <c r="AH3" s="161" t="s">
        <v>91</v>
      </c>
    </row>
    <row r="4" spans="2:35" s="29" customFormat="1" ht="24" customHeight="1">
      <c r="B4" s="35"/>
      <c r="C4" s="36" t="s">
        <v>92</v>
      </c>
      <c r="D4" s="161" t="s">
        <v>93</v>
      </c>
      <c r="E4" s="164"/>
      <c r="F4" s="164"/>
      <c r="G4" s="165" t="s">
        <v>94</v>
      </c>
      <c r="H4" s="166"/>
      <c r="I4" s="166"/>
      <c r="J4" s="167" t="s">
        <v>95</v>
      </c>
      <c r="K4" s="166"/>
      <c r="L4" s="166"/>
      <c r="M4" s="166"/>
      <c r="N4" s="166"/>
      <c r="O4" s="166"/>
      <c r="P4" s="166"/>
      <c r="Q4" s="168"/>
      <c r="R4" s="168"/>
      <c r="S4" s="88"/>
      <c r="T4" s="39" t="s">
        <v>96</v>
      </c>
      <c r="U4" s="40"/>
      <c r="V4" s="37" t="s">
        <v>97</v>
      </c>
      <c r="W4" s="38" t="s">
        <v>98</v>
      </c>
      <c r="X4" s="149" t="s">
        <v>53</v>
      </c>
      <c r="Y4" s="169"/>
      <c r="Z4" s="170"/>
      <c r="AA4" s="149" t="s">
        <v>99</v>
      </c>
      <c r="AB4" s="171"/>
      <c r="AC4" s="170"/>
      <c r="AD4" s="149" t="s">
        <v>100</v>
      </c>
      <c r="AE4" s="150"/>
      <c r="AF4" s="151"/>
      <c r="AG4" s="159"/>
      <c r="AH4" s="162"/>
      <c r="AI4" s="41"/>
    </row>
    <row r="5" spans="2:35" s="29" customFormat="1" ht="27" customHeight="1">
      <c r="B5" s="42" t="s">
        <v>101</v>
      </c>
      <c r="C5" s="42" t="s">
        <v>102</v>
      </c>
      <c r="D5" s="43" t="s">
        <v>103</v>
      </c>
      <c r="E5" s="43" t="s">
        <v>104</v>
      </c>
      <c r="F5" s="43" t="s">
        <v>105</v>
      </c>
      <c r="G5" s="44" t="s">
        <v>103</v>
      </c>
      <c r="H5" s="43" t="s">
        <v>104</v>
      </c>
      <c r="I5" s="43" t="s">
        <v>106</v>
      </c>
      <c r="J5" s="43" t="s">
        <v>107</v>
      </c>
      <c r="K5" s="45" t="s">
        <v>108</v>
      </c>
      <c r="L5" s="45" t="s">
        <v>109</v>
      </c>
      <c r="M5" s="43" t="s">
        <v>104</v>
      </c>
      <c r="N5" s="43" t="s">
        <v>110</v>
      </c>
      <c r="O5" s="43" t="s">
        <v>111</v>
      </c>
      <c r="P5" s="43" t="s">
        <v>104</v>
      </c>
      <c r="Q5" s="46" t="s">
        <v>112</v>
      </c>
      <c r="R5" s="47" t="s">
        <v>113</v>
      </c>
      <c r="S5" s="89" t="s">
        <v>114</v>
      </c>
      <c r="T5" s="89" t="s">
        <v>104</v>
      </c>
      <c r="U5" s="89" t="s">
        <v>115</v>
      </c>
      <c r="V5" s="48" t="s">
        <v>116</v>
      </c>
      <c r="W5" s="48" t="s">
        <v>117</v>
      </c>
      <c r="X5" s="51" t="s">
        <v>118</v>
      </c>
      <c r="Y5" s="51" t="s">
        <v>104</v>
      </c>
      <c r="Z5" s="52" t="s">
        <v>119</v>
      </c>
      <c r="AA5" s="51" t="s">
        <v>118</v>
      </c>
      <c r="AB5" s="51" t="s">
        <v>104</v>
      </c>
      <c r="AC5" s="52" t="s">
        <v>120</v>
      </c>
      <c r="AD5" s="53" t="s">
        <v>121</v>
      </c>
      <c r="AE5" s="53" t="s">
        <v>104</v>
      </c>
      <c r="AF5" s="52" t="s">
        <v>122</v>
      </c>
      <c r="AG5" s="160"/>
      <c r="AH5" s="163"/>
      <c r="AI5" s="41"/>
    </row>
    <row r="6" spans="1:35" ht="31.5" customHeight="1">
      <c r="A6" s="64" t="s">
        <v>172</v>
      </c>
      <c r="B6" s="54">
        <v>250</v>
      </c>
      <c r="C6" s="90">
        <v>140.4</v>
      </c>
      <c r="D6" s="142">
        <f>VLOOKUP($B6,IF(A6="一般",一般性社工,保護性社工),2,0)</f>
        <v>35100</v>
      </c>
      <c r="E6" s="143"/>
      <c r="F6" s="57">
        <f>D6*E6</f>
        <v>0</v>
      </c>
      <c r="G6" s="142">
        <f aca="true" t="shared" si="0" ref="G6:G40">VLOOKUP($B6,IF(A6="一般",一般性社工,保護性社工),11,0)</f>
        <v>2178</v>
      </c>
      <c r="H6" s="57">
        <f aca="true" t="shared" si="1" ref="H6:H40">$E6</f>
        <v>0</v>
      </c>
      <c r="I6" s="58">
        <f>G6*H6</f>
        <v>0</v>
      </c>
      <c r="J6" s="142">
        <f aca="true" t="shared" si="2" ref="J6:J40">VLOOKUP($B6,IF(A6="一般",一般性社工,保護性社工),7,0)</f>
        <v>1768</v>
      </c>
      <c r="K6" s="142">
        <f aca="true" t="shared" si="3" ref="K6:K40">VLOOKUP($B6,IF(A6="一般",一般性社工,保護性社工),8,0)</f>
        <v>93</v>
      </c>
      <c r="L6" s="142">
        <f aca="true" t="shared" si="4" ref="L6:L40">J6+K6</f>
        <v>1861</v>
      </c>
      <c r="M6" s="57">
        <f aca="true" t="shared" si="5" ref="M6:M40">$E6</f>
        <v>0</v>
      </c>
      <c r="N6" s="66">
        <f aca="true" t="shared" si="6" ref="N6:N40">L6*M6</f>
        <v>0</v>
      </c>
      <c r="O6" s="142">
        <f aca="true" t="shared" si="7" ref="O6:O40">VLOOKUP($B6,IF(A6="一般",一般性社工,保護性社工),5,0)</f>
        <v>3120</v>
      </c>
      <c r="P6" s="57">
        <f aca="true" t="shared" si="8" ref="P6:P40">$E6</f>
        <v>0</v>
      </c>
      <c r="Q6" s="58">
        <f aca="true" t="shared" si="9" ref="Q6:Q40">O6*P6:P6</f>
        <v>0</v>
      </c>
      <c r="R6" s="58">
        <f>N6+Q6</f>
        <v>0</v>
      </c>
      <c r="S6" s="61">
        <v>0</v>
      </c>
      <c r="T6" s="61">
        <v>0</v>
      </c>
      <c r="U6" s="58">
        <f>S6*T6</f>
        <v>0</v>
      </c>
      <c r="V6" s="58">
        <f>F6+I6+R6+U6</f>
        <v>0</v>
      </c>
      <c r="W6" s="58">
        <f>V6*12</f>
        <v>0</v>
      </c>
      <c r="X6" s="142">
        <f>ROUND(D6*1.5,0)</f>
        <v>52650</v>
      </c>
      <c r="Y6" s="57">
        <f aca="true" t="shared" si="10" ref="Y6:Y40">$E6</f>
        <v>0</v>
      </c>
      <c r="Z6" s="57">
        <f aca="true" t="shared" si="11" ref="Z6:Z40">X6*Y6</f>
        <v>0</v>
      </c>
      <c r="AA6" s="60">
        <v>16000</v>
      </c>
      <c r="AB6" s="56"/>
      <c r="AC6" s="58">
        <f>AA6*AB6</f>
        <v>0</v>
      </c>
      <c r="AD6" s="61">
        <v>1</v>
      </c>
      <c r="AE6" s="61"/>
      <c r="AF6" s="58">
        <f aca="true" t="shared" si="12" ref="AF6:AF25">AD6*AE6*600</f>
        <v>0</v>
      </c>
      <c r="AG6" s="58">
        <f>W6+Z6+AC6+AF6</f>
        <v>0</v>
      </c>
      <c r="AH6" s="62"/>
      <c r="AI6" s="63"/>
    </row>
    <row r="7" spans="1:35" ht="31.5" customHeight="1">
      <c r="A7" s="64" t="s">
        <v>123</v>
      </c>
      <c r="B7" s="54">
        <v>260</v>
      </c>
      <c r="C7" s="90">
        <v>140.4</v>
      </c>
      <c r="D7" s="142">
        <f>VLOOKUP($B7,IF(A7="一般",一般性社工,保護性社工),2,0)</f>
        <v>36504</v>
      </c>
      <c r="E7" s="143"/>
      <c r="F7" s="57">
        <f>D7*E7</f>
        <v>0</v>
      </c>
      <c r="G7" s="142">
        <f>VLOOKUP($B7,IF(A7="一般",一般性社工,保護性社工),11,0)</f>
        <v>2292</v>
      </c>
      <c r="H7" s="57">
        <f t="shared" si="1"/>
        <v>0</v>
      </c>
      <c r="I7" s="58">
        <f>G7*H7</f>
        <v>0</v>
      </c>
      <c r="J7" s="142">
        <f>VLOOKUP($B7,IF(A7="一般",一般性社工,保護性社工),7,0)</f>
        <v>1860</v>
      </c>
      <c r="K7" s="142">
        <f>VLOOKUP($B7,IF(A7="一般",一般性社工,保護性社工),8,0)</f>
        <v>97</v>
      </c>
      <c r="L7" s="142">
        <f>J7+K7</f>
        <v>1957</v>
      </c>
      <c r="M7" s="57">
        <f t="shared" si="5"/>
        <v>0</v>
      </c>
      <c r="N7" s="66">
        <f>L7*M7</f>
        <v>0</v>
      </c>
      <c r="O7" s="142">
        <f>VLOOKUP($B7,IF(A7="一般",一般性社工,保護性社工),5,0)</f>
        <v>3283</v>
      </c>
      <c r="P7" s="57">
        <f t="shared" si="8"/>
        <v>0</v>
      </c>
      <c r="Q7" s="58">
        <f>O7*P7:P7</f>
        <v>0</v>
      </c>
      <c r="R7" s="58">
        <f>N7+Q7</f>
        <v>0</v>
      </c>
      <c r="S7" s="61">
        <v>0</v>
      </c>
      <c r="T7" s="61">
        <v>0</v>
      </c>
      <c r="U7" s="58">
        <f>S7*T7</f>
        <v>0</v>
      </c>
      <c r="V7" s="58">
        <f>F7+I7+R7+U7</f>
        <v>0</v>
      </c>
      <c r="W7" s="58">
        <f aca="true" t="shared" si="13" ref="W7:W40">V7*12</f>
        <v>0</v>
      </c>
      <c r="X7" s="142">
        <f>ROUND(D7*1.5,0)</f>
        <v>54756</v>
      </c>
      <c r="Y7" s="57">
        <f t="shared" si="10"/>
        <v>0</v>
      </c>
      <c r="Z7" s="57">
        <f>X7*Y7</f>
        <v>0</v>
      </c>
      <c r="AA7" s="59"/>
      <c r="AB7" s="65"/>
      <c r="AC7" s="58">
        <f>AA7*AB7</f>
        <v>0</v>
      </c>
      <c r="AD7" s="61">
        <f>AD6+1</f>
        <v>2</v>
      </c>
      <c r="AE7" s="61"/>
      <c r="AF7" s="58">
        <f t="shared" si="12"/>
        <v>0</v>
      </c>
      <c r="AG7" s="58">
        <f>W7+Z7+AC7+AF7</f>
        <v>0</v>
      </c>
      <c r="AH7" s="62"/>
      <c r="AI7" s="63"/>
    </row>
    <row r="8" spans="1:35" ht="31.5" customHeight="1">
      <c r="A8" s="64" t="s">
        <v>123</v>
      </c>
      <c r="B8" s="54">
        <v>270</v>
      </c>
      <c r="C8" s="90">
        <v>140.4</v>
      </c>
      <c r="D8" s="142">
        <f>VLOOKUP($B8,IF(A8="一般",一般性社工,保護性社工),2,0)</f>
        <v>37908</v>
      </c>
      <c r="E8" s="143"/>
      <c r="F8" s="57">
        <f>D8*E8</f>
        <v>0</v>
      </c>
      <c r="G8" s="142">
        <f>VLOOKUP($B8,IF(A8="一般",一般性社工,保護性社工),11,0)</f>
        <v>2292</v>
      </c>
      <c r="H8" s="57">
        <f t="shared" si="1"/>
        <v>0</v>
      </c>
      <c r="I8" s="58">
        <f>G8*H8</f>
        <v>0</v>
      </c>
      <c r="J8" s="142">
        <f>VLOOKUP($B8,IF(A8="一般",一般性社工,保護性社工),7,0)</f>
        <v>1860</v>
      </c>
      <c r="K8" s="142">
        <f>VLOOKUP($B8,IF(A8="一般",一般性社工,保護性社工),8,0)</f>
        <v>100</v>
      </c>
      <c r="L8" s="142">
        <f>J8+K8</f>
        <v>1960</v>
      </c>
      <c r="M8" s="57">
        <f t="shared" si="5"/>
        <v>0</v>
      </c>
      <c r="N8" s="66">
        <f>L8*M8</f>
        <v>0</v>
      </c>
      <c r="O8" s="142">
        <f>VLOOKUP($B8,IF(A8="一般",一般性社工,保護性社工),5,0)</f>
        <v>3283</v>
      </c>
      <c r="P8" s="57">
        <f t="shared" si="8"/>
        <v>0</v>
      </c>
      <c r="Q8" s="58">
        <f>O8*P8:P8</f>
        <v>0</v>
      </c>
      <c r="R8" s="58">
        <f>N8+Q8</f>
        <v>0</v>
      </c>
      <c r="S8" s="61">
        <v>0</v>
      </c>
      <c r="T8" s="61">
        <v>0</v>
      </c>
      <c r="U8" s="58">
        <f>S8*T8</f>
        <v>0</v>
      </c>
      <c r="V8" s="58">
        <f>F8+I8+R8+U8</f>
        <v>0</v>
      </c>
      <c r="W8" s="58">
        <f t="shared" si="13"/>
        <v>0</v>
      </c>
      <c r="X8" s="142">
        <f>ROUND(D8*1.5,0)</f>
        <v>56862</v>
      </c>
      <c r="Y8" s="57">
        <f t="shared" si="10"/>
        <v>0</v>
      </c>
      <c r="Z8" s="57">
        <f>X8*Y8</f>
        <v>0</v>
      </c>
      <c r="AA8" s="59"/>
      <c r="AB8" s="65"/>
      <c r="AC8" s="58">
        <f>AA8*AB8</f>
        <v>0</v>
      </c>
      <c r="AD8" s="61">
        <f aca="true" t="shared" si="14" ref="AD8:AD20">AD7+1</f>
        <v>3</v>
      </c>
      <c r="AE8" s="61"/>
      <c r="AF8" s="58">
        <f t="shared" si="12"/>
        <v>0</v>
      </c>
      <c r="AG8" s="58">
        <f>W8+Z8+AC8+AF8</f>
        <v>0</v>
      </c>
      <c r="AH8" s="62"/>
      <c r="AI8" s="63"/>
    </row>
    <row r="9" spans="1:35" ht="31.5" customHeight="1">
      <c r="A9" s="64" t="s">
        <v>123</v>
      </c>
      <c r="B9" s="54">
        <v>280</v>
      </c>
      <c r="C9" s="90">
        <v>140.4</v>
      </c>
      <c r="D9" s="142">
        <f aca="true" t="shared" si="15" ref="D9:D40">VLOOKUP($B9,IF(A9="一般",一般性社工,保護性社工),2,0)</f>
        <v>39312</v>
      </c>
      <c r="E9" s="143"/>
      <c r="F9" s="57">
        <f aca="true" t="shared" si="16" ref="F9:F40">D9*E9</f>
        <v>0</v>
      </c>
      <c r="G9" s="142">
        <f t="shared" si="0"/>
        <v>2406</v>
      </c>
      <c r="H9" s="57">
        <f t="shared" si="1"/>
        <v>0</v>
      </c>
      <c r="I9" s="58">
        <f aca="true" t="shared" si="17" ref="I9:I40">G9*H9</f>
        <v>0</v>
      </c>
      <c r="J9" s="142">
        <f t="shared" si="2"/>
        <v>1953</v>
      </c>
      <c r="K9" s="142">
        <f t="shared" si="3"/>
        <v>104</v>
      </c>
      <c r="L9" s="142">
        <f t="shared" si="4"/>
        <v>2057</v>
      </c>
      <c r="M9" s="57">
        <f t="shared" si="5"/>
        <v>0</v>
      </c>
      <c r="N9" s="66">
        <f t="shared" si="6"/>
        <v>0</v>
      </c>
      <c r="O9" s="142">
        <f t="shared" si="7"/>
        <v>3447</v>
      </c>
      <c r="P9" s="57">
        <f t="shared" si="8"/>
        <v>0</v>
      </c>
      <c r="Q9" s="58">
        <f t="shared" si="9"/>
        <v>0</v>
      </c>
      <c r="R9" s="58">
        <f aca="true" t="shared" si="18" ref="R9:R40">N9+Q9</f>
        <v>0</v>
      </c>
      <c r="S9" s="61">
        <v>0</v>
      </c>
      <c r="T9" s="61">
        <v>0</v>
      </c>
      <c r="U9" s="58">
        <f aca="true" t="shared" si="19" ref="U9:U40">S9*T9</f>
        <v>0</v>
      </c>
      <c r="V9" s="58">
        <f aca="true" t="shared" si="20" ref="V9:V40">F9+I9+R9+U9</f>
        <v>0</v>
      </c>
      <c r="W9" s="58">
        <f t="shared" si="13"/>
        <v>0</v>
      </c>
      <c r="X9" s="142">
        <f aca="true" t="shared" si="21" ref="X9:X40">ROUND(D9*1.5,0)</f>
        <v>58968</v>
      </c>
      <c r="Y9" s="57">
        <f t="shared" si="10"/>
        <v>0</v>
      </c>
      <c r="Z9" s="57">
        <f t="shared" si="11"/>
        <v>0</v>
      </c>
      <c r="AA9" s="59"/>
      <c r="AB9" s="65"/>
      <c r="AC9" s="58">
        <f aca="true" t="shared" si="22" ref="AC9:AC40">AA9*AB9</f>
        <v>0</v>
      </c>
      <c r="AD9" s="61">
        <f t="shared" si="14"/>
        <v>4</v>
      </c>
      <c r="AE9" s="61"/>
      <c r="AF9" s="58">
        <f t="shared" si="12"/>
        <v>0</v>
      </c>
      <c r="AG9" s="58">
        <f aca="true" t="shared" si="23" ref="AG9:AG40">W9+Z9+AC9+AF9</f>
        <v>0</v>
      </c>
      <c r="AH9" s="62"/>
      <c r="AI9" s="63"/>
    </row>
    <row r="10" spans="1:35" ht="31.5" customHeight="1">
      <c r="A10" s="64" t="s">
        <v>123</v>
      </c>
      <c r="B10" s="54">
        <v>290</v>
      </c>
      <c r="C10" s="90">
        <v>140.4</v>
      </c>
      <c r="D10" s="142">
        <f>VLOOKUP($B10,IF(A10="一般",一般性社工,保護性社工),2,0)</f>
        <v>40716</v>
      </c>
      <c r="E10" s="143"/>
      <c r="F10" s="57">
        <f>D10*E10</f>
        <v>0</v>
      </c>
      <c r="G10" s="142">
        <f>VLOOKUP($B10,IF(A10="一般",一般性社工,保護性社工),11,0)</f>
        <v>2520</v>
      </c>
      <c r="H10" s="57">
        <f t="shared" si="1"/>
        <v>0</v>
      </c>
      <c r="I10" s="58">
        <f>G10*H10</f>
        <v>0</v>
      </c>
      <c r="J10" s="142">
        <f>VLOOKUP($B10,IF(A10="一般",一般性社工,保護性社工),7,0)</f>
        <v>2045</v>
      </c>
      <c r="K10" s="142">
        <f>VLOOKUP($B10,IF(A10="一般",一般性社工,保護性社工),8,0)</f>
        <v>108</v>
      </c>
      <c r="L10" s="142">
        <f>J10+K10</f>
        <v>2153</v>
      </c>
      <c r="M10" s="57">
        <f t="shared" si="5"/>
        <v>0</v>
      </c>
      <c r="N10" s="66">
        <f>L10*M10</f>
        <v>0</v>
      </c>
      <c r="O10" s="142">
        <f>VLOOKUP($B10,IF(A10="一般",一般性社工,保護性社工),5,0)</f>
        <v>3610</v>
      </c>
      <c r="P10" s="57">
        <f t="shared" si="8"/>
        <v>0</v>
      </c>
      <c r="Q10" s="58">
        <f>O10*P10:P10</f>
        <v>0</v>
      </c>
      <c r="R10" s="58">
        <f>N10+Q10</f>
        <v>0</v>
      </c>
      <c r="S10" s="61">
        <v>0</v>
      </c>
      <c r="T10" s="61">
        <v>0</v>
      </c>
      <c r="U10" s="58">
        <f>S10*T10</f>
        <v>0</v>
      </c>
      <c r="V10" s="58">
        <f>F10+I10+R10+U10</f>
        <v>0</v>
      </c>
      <c r="W10" s="58">
        <f t="shared" si="13"/>
        <v>0</v>
      </c>
      <c r="X10" s="142">
        <f>ROUND(D10*1.5,0)</f>
        <v>61074</v>
      </c>
      <c r="Y10" s="57">
        <f t="shared" si="10"/>
        <v>0</v>
      </c>
      <c r="Z10" s="57">
        <f>X10*Y10</f>
        <v>0</v>
      </c>
      <c r="AA10" s="59"/>
      <c r="AB10" s="65"/>
      <c r="AC10" s="58">
        <f>AA10*AB10</f>
        <v>0</v>
      </c>
      <c r="AD10" s="61">
        <f t="shared" si="14"/>
        <v>5</v>
      </c>
      <c r="AE10" s="61"/>
      <c r="AF10" s="58">
        <f t="shared" si="12"/>
        <v>0</v>
      </c>
      <c r="AG10" s="58">
        <f>W10+Z10+AC10+AF10</f>
        <v>0</v>
      </c>
      <c r="AH10" s="62"/>
      <c r="AI10" s="63"/>
    </row>
    <row r="11" spans="1:35" ht="31.5" customHeight="1">
      <c r="A11" s="64" t="s">
        <v>123</v>
      </c>
      <c r="B11" s="54">
        <v>296</v>
      </c>
      <c r="C11" s="90">
        <v>140.4</v>
      </c>
      <c r="D11" s="142">
        <f t="shared" si="15"/>
        <v>41558</v>
      </c>
      <c r="E11" s="143"/>
      <c r="F11" s="57">
        <f t="shared" si="16"/>
        <v>0</v>
      </c>
      <c r="G11" s="142">
        <f t="shared" si="0"/>
        <v>2520</v>
      </c>
      <c r="H11" s="57">
        <f t="shared" si="1"/>
        <v>0</v>
      </c>
      <c r="I11" s="58">
        <f t="shared" si="17"/>
        <v>0</v>
      </c>
      <c r="J11" s="142">
        <f t="shared" si="2"/>
        <v>2045</v>
      </c>
      <c r="K11" s="142">
        <f t="shared" si="3"/>
        <v>110</v>
      </c>
      <c r="L11" s="142">
        <f t="shared" si="4"/>
        <v>2155</v>
      </c>
      <c r="M11" s="57">
        <f t="shared" si="5"/>
        <v>0</v>
      </c>
      <c r="N11" s="66">
        <f t="shared" si="6"/>
        <v>0</v>
      </c>
      <c r="O11" s="142">
        <f t="shared" si="7"/>
        <v>3610</v>
      </c>
      <c r="P11" s="57">
        <f t="shared" si="8"/>
        <v>0</v>
      </c>
      <c r="Q11" s="58">
        <f t="shared" si="9"/>
        <v>0</v>
      </c>
      <c r="R11" s="58">
        <f t="shared" si="18"/>
        <v>0</v>
      </c>
      <c r="S11" s="61">
        <v>0</v>
      </c>
      <c r="T11" s="61">
        <v>0</v>
      </c>
      <c r="U11" s="58">
        <f t="shared" si="19"/>
        <v>0</v>
      </c>
      <c r="V11" s="58">
        <f t="shared" si="20"/>
        <v>0</v>
      </c>
      <c r="W11" s="58">
        <f t="shared" si="13"/>
        <v>0</v>
      </c>
      <c r="X11" s="142">
        <f t="shared" si="21"/>
        <v>62337</v>
      </c>
      <c r="Y11" s="57">
        <f t="shared" si="10"/>
        <v>0</v>
      </c>
      <c r="Z11" s="57">
        <f t="shared" si="11"/>
        <v>0</v>
      </c>
      <c r="AA11" s="59"/>
      <c r="AB11" s="65"/>
      <c r="AC11" s="58">
        <f t="shared" si="22"/>
        <v>0</v>
      </c>
      <c r="AD11" s="61">
        <f t="shared" si="14"/>
        <v>6</v>
      </c>
      <c r="AE11" s="61"/>
      <c r="AF11" s="58">
        <f t="shared" si="12"/>
        <v>0</v>
      </c>
      <c r="AG11" s="58">
        <f t="shared" si="23"/>
        <v>0</v>
      </c>
      <c r="AH11" s="62"/>
      <c r="AI11" s="63"/>
    </row>
    <row r="12" spans="1:35" ht="31.5" customHeight="1">
      <c r="A12" s="64" t="s">
        <v>123</v>
      </c>
      <c r="B12" s="54">
        <v>300</v>
      </c>
      <c r="C12" s="90">
        <v>140.4</v>
      </c>
      <c r="D12" s="142">
        <f>VLOOKUP($B12,IF(A12="一般",一般性社工,保護性社工),2,0)</f>
        <v>42120</v>
      </c>
      <c r="E12" s="143"/>
      <c r="F12" s="57">
        <f>D12*E12</f>
        <v>0</v>
      </c>
      <c r="G12" s="142">
        <f>VLOOKUP($B12,IF(A12="一般",一般性社工,保護性社工),11,0)</f>
        <v>2634</v>
      </c>
      <c r="H12" s="57">
        <f t="shared" si="1"/>
        <v>0</v>
      </c>
      <c r="I12" s="58">
        <f>G12*H12</f>
        <v>0</v>
      </c>
      <c r="J12" s="142">
        <f>VLOOKUP($B12,IF(A12="一般",一般性社工,保護性社工),7,0)</f>
        <v>2138</v>
      </c>
      <c r="K12" s="142">
        <f>VLOOKUP($B12,IF(A12="一般",一般性社工,保護性社工),8,0)</f>
        <v>112</v>
      </c>
      <c r="L12" s="142">
        <f>J12+K12</f>
        <v>2250</v>
      </c>
      <c r="M12" s="57">
        <f t="shared" si="5"/>
        <v>0</v>
      </c>
      <c r="N12" s="66">
        <f>L12*M12</f>
        <v>0</v>
      </c>
      <c r="O12" s="142">
        <f>VLOOKUP($B12,IF(A12="一般",一般性社工,保護性社工),5,0)</f>
        <v>3773</v>
      </c>
      <c r="P12" s="57">
        <f t="shared" si="8"/>
        <v>0</v>
      </c>
      <c r="Q12" s="58">
        <f>O12*P12:P12</f>
        <v>0</v>
      </c>
      <c r="R12" s="58">
        <f>N12+Q12</f>
        <v>0</v>
      </c>
      <c r="S12" s="61">
        <v>0</v>
      </c>
      <c r="T12" s="61">
        <v>0</v>
      </c>
      <c r="U12" s="58">
        <f>S12*T12</f>
        <v>0</v>
      </c>
      <c r="V12" s="58">
        <f>F12+I12+R12+U12</f>
        <v>0</v>
      </c>
      <c r="W12" s="58">
        <f t="shared" si="13"/>
        <v>0</v>
      </c>
      <c r="X12" s="142">
        <f>ROUND(D12*1.5,0)</f>
        <v>63180</v>
      </c>
      <c r="Y12" s="57">
        <f t="shared" si="10"/>
        <v>0</v>
      </c>
      <c r="Z12" s="57">
        <f>X12*Y12</f>
        <v>0</v>
      </c>
      <c r="AA12" s="59"/>
      <c r="AB12" s="65"/>
      <c r="AC12" s="58">
        <f>AA12*AB12</f>
        <v>0</v>
      </c>
      <c r="AD12" s="61">
        <f t="shared" si="14"/>
        <v>7</v>
      </c>
      <c r="AE12" s="61"/>
      <c r="AF12" s="58">
        <f t="shared" si="12"/>
        <v>0</v>
      </c>
      <c r="AG12" s="58">
        <f>W12+Z12+AC12+AF12</f>
        <v>0</v>
      </c>
      <c r="AH12" s="62"/>
      <c r="AI12" s="63"/>
    </row>
    <row r="13" spans="1:35" ht="31.5" customHeight="1">
      <c r="A13" s="64" t="s">
        <v>123</v>
      </c>
      <c r="B13" s="54">
        <v>310</v>
      </c>
      <c r="C13" s="90">
        <v>140.4</v>
      </c>
      <c r="D13" s="142">
        <f>VLOOKUP($B13,IF(A13="一般",一般性社工,保護性社工),2,0)</f>
        <v>43524</v>
      </c>
      <c r="E13" s="143"/>
      <c r="F13" s="57">
        <f>D13*E13</f>
        <v>0</v>
      </c>
      <c r="G13" s="142">
        <f>VLOOKUP($B13,IF(A13="一般",一般性社工,保護性社工),11,0)</f>
        <v>2634</v>
      </c>
      <c r="H13" s="57">
        <f t="shared" si="1"/>
        <v>0</v>
      </c>
      <c r="I13" s="58">
        <f>G13*H13</f>
        <v>0</v>
      </c>
      <c r="J13" s="142">
        <f>VLOOKUP($B13,IF(A13="一般",一般性社工,保護性社工),7,0)</f>
        <v>2138</v>
      </c>
      <c r="K13" s="142">
        <f>VLOOKUP($B13,IF(A13="一般",一般性社工,保護性社工),8,0)</f>
        <v>115</v>
      </c>
      <c r="L13" s="142">
        <f>J13+K13</f>
        <v>2253</v>
      </c>
      <c r="M13" s="57">
        <f t="shared" si="5"/>
        <v>0</v>
      </c>
      <c r="N13" s="66">
        <f>L13*M13</f>
        <v>0</v>
      </c>
      <c r="O13" s="142">
        <f>VLOOKUP($B13,IF(A13="一般",一般性社工,保護性社工),5,0)</f>
        <v>3773</v>
      </c>
      <c r="P13" s="57">
        <f t="shared" si="8"/>
        <v>0</v>
      </c>
      <c r="Q13" s="58">
        <f>O13*P13:P13</f>
        <v>0</v>
      </c>
      <c r="R13" s="58">
        <f>N13+Q13</f>
        <v>0</v>
      </c>
      <c r="S13" s="61">
        <v>0</v>
      </c>
      <c r="T13" s="61">
        <v>0</v>
      </c>
      <c r="U13" s="58">
        <f>S13*T13</f>
        <v>0</v>
      </c>
      <c r="V13" s="58">
        <f>F13+I13+R13+U13</f>
        <v>0</v>
      </c>
      <c r="W13" s="58">
        <f t="shared" si="13"/>
        <v>0</v>
      </c>
      <c r="X13" s="142">
        <f>ROUND(D13*1.5,0)</f>
        <v>65286</v>
      </c>
      <c r="Y13" s="57">
        <f t="shared" si="10"/>
        <v>0</v>
      </c>
      <c r="Z13" s="57">
        <f>X13*Y13</f>
        <v>0</v>
      </c>
      <c r="AA13" s="59"/>
      <c r="AB13" s="65"/>
      <c r="AC13" s="58">
        <f>AA13*AB13</f>
        <v>0</v>
      </c>
      <c r="AD13" s="61">
        <f t="shared" si="14"/>
        <v>8</v>
      </c>
      <c r="AE13" s="61"/>
      <c r="AF13" s="58">
        <f t="shared" si="12"/>
        <v>0</v>
      </c>
      <c r="AG13" s="58">
        <f>W13+Z13+AC13+AF13</f>
        <v>0</v>
      </c>
      <c r="AH13" s="62"/>
      <c r="AI13" s="63"/>
    </row>
    <row r="14" spans="1:34" ht="31.5" customHeight="1">
      <c r="A14" s="64" t="s">
        <v>123</v>
      </c>
      <c r="B14" s="54">
        <v>312</v>
      </c>
      <c r="C14" s="90">
        <v>140.4</v>
      </c>
      <c r="D14" s="142">
        <f t="shared" si="15"/>
        <v>43805</v>
      </c>
      <c r="E14" s="143"/>
      <c r="F14" s="57">
        <f t="shared" si="16"/>
        <v>0</v>
      </c>
      <c r="G14" s="142">
        <f t="shared" si="0"/>
        <v>2634</v>
      </c>
      <c r="H14" s="57">
        <f t="shared" si="1"/>
        <v>0</v>
      </c>
      <c r="I14" s="58">
        <f t="shared" si="17"/>
        <v>0</v>
      </c>
      <c r="J14" s="142">
        <f t="shared" si="2"/>
        <v>2138</v>
      </c>
      <c r="K14" s="142">
        <f t="shared" si="3"/>
        <v>116</v>
      </c>
      <c r="L14" s="142">
        <f t="shared" si="4"/>
        <v>2254</v>
      </c>
      <c r="M14" s="57">
        <f t="shared" si="5"/>
        <v>0</v>
      </c>
      <c r="N14" s="66">
        <f t="shared" si="6"/>
        <v>0</v>
      </c>
      <c r="O14" s="142">
        <f t="shared" si="7"/>
        <v>3773</v>
      </c>
      <c r="P14" s="57">
        <f t="shared" si="8"/>
        <v>0</v>
      </c>
      <c r="Q14" s="58">
        <f t="shared" si="9"/>
        <v>0</v>
      </c>
      <c r="R14" s="58">
        <f t="shared" si="18"/>
        <v>0</v>
      </c>
      <c r="S14" s="61">
        <v>0</v>
      </c>
      <c r="T14" s="61">
        <v>0</v>
      </c>
      <c r="U14" s="58">
        <f t="shared" si="19"/>
        <v>0</v>
      </c>
      <c r="V14" s="58">
        <f t="shared" si="20"/>
        <v>0</v>
      </c>
      <c r="W14" s="58">
        <f t="shared" si="13"/>
        <v>0</v>
      </c>
      <c r="X14" s="142">
        <f t="shared" si="21"/>
        <v>65708</v>
      </c>
      <c r="Y14" s="57">
        <f t="shared" si="10"/>
        <v>0</v>
      </c>
      <c r="Z14" s="57">
        <f t="shared" si="11"/>
        <v>0</v>
      </c>
      <c r="AA14" s="59"/>
      <c r="AB14" s="65"/>
      <c r="AC14" s="58">
        <f t="shared" si="22"/>
        <v>0</v>
      </c>
      <c r="AD14" s="61">
        <f t="shared" si="14"/>
        <v>9</v>
      </c>
      <c r="AE14" s="61"/>
      <c r="AF14" s="58">
        <f t="shared" si="12"/>
        <v>0</v>
      </c>
      <c r="AG14" s="58">
        <f t="shared" si="23"/>
        <v>0</v>
      </c>
      <c r="AH14" s="62"/>
    </row>
    <row r="15" spans="1:34" ht="31.5" customHeight="1">
      <c r="A15" s="64" t="s">
        <v>123</v>
      </c>
      <c r="B15" s="54">
        <v>320</v>
      </c>
      <c r="C15" s="90">
        <v>140.4</v>
      </c>
      <c r="D15" s="142">
        <f>VLOOKUP($B15,IF(A15="一般",一般性社工,保護性社工),2,0)</f>
        <v>44928</v>
      </c>
      <c r="E15" s="143"/>
      <c r="F15" s="57">
        <f>D15*E15</f>
        <v>0</v>
      </c>
      <c r="G15" s="142">
        <f>VLOOKUP($B15,IF(A15="一般",一般性社工,保護性社工),11,0)</f>
        <v>2748</v>
      </c>
      <c r="H15" s="57">
        <f t="shared" si="1"/>
        <v>0</v>
      </c>
      <c r="I15" s="58">
        <f>G15*H15</f>
        <v>0</v>
      </c>
      <c r="J15" s="142">
        <f>VLOOKUP($B15,IF(A15="一般",一般性社工,保護性社工),7,0)</f>
        <v>2231</v>
      </c>
      <c r="K15" s="142">
        <f>VLOOKUP($B15,IF(A15="一般",一般性社工,保護性社工),8,0)</f>
        <v>119</v>
      </c>
      <c r="L15" s="142">
        <f>J15+K15</f>
        <v>2350</v>
      </c>
      <c r="M15" s="57">
        <f t="shared" si="5"/>
        <v>0</v>
      </c>
      <c r="N15" s="66">
        <f>L15*M15</f>
        <v>0</v>
      </c>
      <c r="O15" s="142">
        <f>VLOOKUP($B15,IF(A15="一般",一般性社工,保護性社工),5,0)</f>
        <v>3937</v>
      </c>
      <c r="P15" s="57">
        <f t="shared" si="8"/>
        <v>0</v>
      </c>
      <c r="Q15" s="58">
        <f>O15*P15:P15</f>
        <v>0</v>
      </c>
      <c r="R15" s="58">
        <f>N15+Q15</f>
        <v>0</v>
      </c>
      <c r="S15" s="61">
        <v>0</v>
      </c>
      <c r="T15" s="61">
        <v>0</v>
      </c>
      <c r="U15" s="58">
        <f>S15*T15</f>
        <v>0</v>
      </c>
      <c r="V15" s="58">
        <f>F15+I15+R15+U15</f>
        <v>0</v>
      </c>
      <c r="W15" s="58">
        <f t="shared" si="13"/>
        <v>0</v>
      </c>
      <c r="X15" s="142">
        <f>ROUND(D15*1.5,0)</f>
        <v>67392</v>
      </c>
      <c r="Y15" s="57">
        <f t="shared" si="10"/>
        <v>0</v>
      </c>
      <c r="Z15" s="57">
        <f>X15*Y15</f>
        <v>0</v>
      </c>
      <c r="AA15" s="59"/>
      <c r="AB15" s="65"/>
      <c r="AC15" s="58">
        <f>AA15*AB15</f>
        <v>0</v>
      </c>
      <c r="AD15" s="61">
        <f t="shared" si="14"/>
        <v>10</v>
      </c>
      <c r="AE15" s="61"/>
      <c r="AF15" s="58">
        <f t="shared" si="12"/>
        <v>0</v>
      </c>
      <c r="AG15" s="58">
        <f>W15+Z15+AC15+AF15</f>
        <v>0</v>
      </c>
      <c r="AH15" s="62"/>
    </row>
    <row r="16" spans="1:34" ht="31.5" customHeight="1">
      <c r="A16" s="64" t="s">
        <v>123</v>
      </c>
      <c r="B16" s="91">
        <v>328</v>
      </c>
      <c r="C16" s="90">
        <v>140.4</v>
      </c>
      <c r="D16" s="142">
        <f t="shared" si="15"/>
        <v>46051</v>
      </c>
      <c r="E16" s="143"/>
      <c r="F16" s="57">
        <f t="shared" si="16"/>
        <v>0</v>
      </c>
      <c r="G16" s="142">
        <f t="shared" si="0"/>
        <v>2892</v>
      </c>
      <c r="H16" s="57">
        <f t="shared" si="1"/>
        <v>0</v>
      </c>
      <c r="I16" s="58">
        <f t="shared" si="17"/>
        <v>0</v>
      </c>
      <c r="J16" s="142">
        <f t="shared" si="2"/>
        <v>2347</v>
      </c>
      <c r="K16" s="142">
        <f t="shared" si="3"/>
        <v>122</v>
      </c>
      <c r="L16" s="142">
        <f t="shared" si="4"/>
        <v>2469</v>
      </c>
      <c r="M16" s="57">
        <f t="shared" si="5"/>
        <v>0</v>
      </c>
      <c r="N16" s="66">
        <f t="shared" si="6"/>
        <v>0</v>
      </c>
      <c r="O16" s="142">
        <f t="shared" si="7"/>
        <v>3937</v>
      </c>
      <c r="P16" s="57">
        <f t="shared" si="8"/>
        <v>0</v>
      </c>
      <c r="Q16" s="58">
        <f t="shared" si="9"/>
        <v>0</v>
      </c>
      <c r="R16" s="58">
        <f t="shared" si="18"/>
        <v>0</v>
      </c>
      <c r="S16" s="61">
        <v>0</v>
      </c>
      <c r="T16" s="61">
        <v>0</v>
      </c>
      <c r="U16" s="58">
        <f t="shared" si="19"/>
        <v>0</v>
      </c>
      <c r="V16" s="58">
        <f t="shared" si="20"/>
        <v>0</v>
      </c>
      <c r="W16" s="58">
        <f t="shared" si="13"/>
        <v>0</v>
      </c>
      <c r="X16" s="142">
        <f t="shared" si="21"/>
        <v>69077</v>
      </c>
      <c r="Y16" s="57">
        <f t="shared" si="10"/>
        <v>0</v>
      </c>
      <c r="Z16" s="57">
        <f t="shared" si="11"/>
        <v>0</v>
      </c>
      <c r="AA16" s="59"/>
      <c r="AB16" s="65"/>
      <c r="AC16" s="58">
        <f t="shared" si="22"/>
        <v>0</v>
      </c>
      <c r="AD16" s="61">
        <f t="shared" si="14"/>
        <v>11</v>
      </c>
      <c r="AE16" s="61"/>
      <c r="AF16" s="58">
        <f t="shared" si="12"/>
        <v>0</v>
      </c>
      <c r="AG16" s="58">
        <f t="shared" si="23"/>
        <v>0</v>
      </c>
      <c r="AH16" s="62"/>
    </row>
    <row r="17" spans="1:34" ht="31.5" customHeight="1">
      <c r="A17" s="64" t="s">
        <v>123</v>
      </c>
      <c r="B17" s="91">
        <v>330</v>
      </c>
      <c r="C17" s="90">
        <v>140.4</v>
      </c>
      <c r="D17" s="142">
        <f>VLOOKUP($B17,IF(A17="一般",一般性社工,保護性社工),2,0)</f>
        <v>46332</v>
      </c>
      <c r="E17" s="143"/>
      <c r="F17" s="57">
        <f>D17*E17</f>
        <v>0</v>
      </c>
      <c r="G17" s="142">
        <f>VLOOKUP($B17,IF(A17="一般",一般性社工,保護性社工),11,0)</f>
        <v>2892</v>
      </c>
      <c r="H17" s="57">
        <f t="shared" si="1"/>
        <v>0</v>
      </c>
      <c r="I17" s="58">
        <f>G17*H17</f>
        <v>0</v>
      </c>
      <c r="J17" s="142">
        <f>VLOOKUP($B17,IF(A17="一般",一般性社工,保護性社工),7,0)</f>
        <v>2347</v>
      </c>
      <c r="K17" s="142">
        <f>VLOOKUP($B17,IF(A17="一般",一般性社工,保護性社工),8,0)</f>
        <v>123</v>
      </c>
      <c r="L17" s="142">
        <f>J17+K17</f>
        <v>2470</v>
      </c>
      <c r="M17" s="57">
        <f t="shared" si="5"/>
        <v>0</v>
      </c>
      <c r="N17" s="66">
        <f>L17*M17</f>
        <v>0</v>
      </c>
      <c r="O17" s="142">
        <f>VLOOKUP($B17,IF(A17="一般",一般性社工,保護性社工),5,0)</f>
        <v>3937</v>
      </c>
      <c r="P17" s="57">
        <f t="shared" si="8"/>
        <v>0</v>
      </c>
      <c r="Q17" s="58">
        <f>O17*P17:P17</f>
        <v>0</v>
      </c>
      <c r="R17" s="58">
        <f>N17+Q17</f>
        <v>0</v>
      </c>
      <c r="S17" s="61">
        <v>0</v>
      </c>
      <c r="T17" s="61">
        <v>0</v>
      </c>
      <c r="U17" s="58">
        <f>S17*T17</f>
        <v>0</v>
      </c>
      <c r="V17" s="58">
        <f>F17+I17+R17+U17</f>
        <v>0</v>
      </c>
      <c r="W17" s="58">
        <f t="shared" si="13"/>
        <v>0</v>
      </c>
      <c r="X17" s="142">
        <f>ROUND(D17*1.5,0)</f>
        <v>69498</v>
      </c>
      <c r="Y17" s="57">
        <f t="shared" si="10"/>
        <v>0</v>
      </c>
      <c r="Z17" s="57">
        <f>X17*Y17</f>
        <v>0</v>
      </c>
      <c r="AA17" s="59"/>
      <c r="AB17" s="65"/>
      <c r="AC17" s="58">
        <f>AA17*AB17</f>
        <v>0</v>
      </c>
      <c r="AD17" s="61">
        <f t="shared" si="14"/>
        <v>12</v>
      </c>
      <c r="AE17" s="61"/>
      <c r="AF17" s="58">
        <f t="shared" si="12"/>
        <v>0</v>
      </c>
      <c r="AG17" s="58">
        <f>W17+Z17+AC17+AF17</f>
        <v>0</v>
      </c>
      <c r="AH17" s="62"/>
    </row>
    <row r="18" spans="1:34" ht="31.5" customHeight="1">
      <c r="A18" s="64" t="s">
        <v>123</v>
      </c>
      <c r="B18" s="91">
        <v>344</v>
      </c>
      <c r="C18" s="90">
        <v>140.4</v>
      </c>
      <c r="D18" s="142">
        <f t="shared" si="15"/>
        <v>48298</v>
      </c>
      <c r="E18" s="143"/>
      <c r="F18" s="57">
        <f t="shared" si="16"/>
        <v>0</v>
      </c>
      <c r="G18" s="142">
        <f t="shared" si="0"/>
        <v>3036</v>
      </c>
      <c r="H18" s="57">
        <f t="shared" si="1"/>
        <v>0</v>
      </c>
      <c r="I18" s="58">
        <f t="shared" si="17"/>
        <v>0</v>
      </c>
      <c r="J18" s="142">
        <f t="shared" si="2"/>
        <v>2464</v>
      </c>
      <c r="K18" s="142">
        <f t="shared" si="3"/>
        <v>128</v>
      </c>
      <c r="L18" s="142">
        <f t="shared" si="4"/>
        <v>2592</v>
      </c>
      <c r="M18" s="57">
        <f t="shared" si="5"/>
        <v>0</v>
      </c>
      <c r="N18" s="66">
        <f t="shared" si="6"/>
        <v>0</v>
      </c>
      <c r="O18" s="142">
        <f t="shared" si="7"/>
        <v>3937</v>
      </c>
      <c r="P18" s="57">
        <f t="shared" si="8"/>
        <v>0</v>
      </c>
      <c r="Q18" s="58">
        <f t="shared" si="9"/>
        <v>0</v>
      </c>
      <c r="R18" s="58">
        <f t="shared" si="18"/>
        <v>0</v>
      </c>
      <c r="S18" s="61">
        <v>0</v>
      </c>
      <c r="T18" s="61">
        <v>0</v>
      </c>
      <c r="U18" s="58">
        <f t="shared" si="19"/>
        <v>0</v>
      </c>
      <c r="V18" s="58">
        <f t="shared" si="20"/>
        <v>0</v>
      </c>
      <c r="W18" s="58">
        <f t="shared" si="13"/>
        <v>0</v>
      </c>
      <c r="X18" s="142">
        <f t="shared" si="21"/>
        <v>72447</v>
      </c>
      <c r="Y18" s="57">
        <f t="shared" si="10"/>
        <v>0</v>
      </c>
      <c r="Z18" s="57">
        <f t="shared" si="11"/>
        <v>0</v>
      </c>
      <c r="AA18" s="59"/>
      <c r="AB18" s="65"/>
      <c r="AC18" s="58">
        <f t="shared" si="22"/>
        <v>0</v>
      </c>
      <c r="AD18" s="61">
        <f t="shared" si="14"/>
        <v>13</v>
      </c>
      <c r="AE18" s="61"/>
      <c r="AF18" s="58">
        <f t="shared" si="12"/>
        <v>0</v>
      </c>
      <c r="AG18" s="58">
        <f t="shared" si="23"/>
        <v>0</v>
      </c>
      <c r="AH18" s="62"/>
    </row>
    <row r="19" spans="1:34" ht="31.5" customHeight="1">
      <c r="A19" s="64" t="s">
        <v>123</v>
      </c>
      <c r="B19" s="91">
        <v>360</v>
      </c>
      <c r="C19" s="90">
        <v>140.4</v>
      </c>
      <c r="D19" s="142">
        <f t="shared" si="15"/>
        <v>50544</v>
      </c>
      <c r="E19" s="143"/>
      <c r="F19" s="57">
        <f t="shared" si="16"/>
        <v>0</v>
      </c>
      <c r="G19" s="142">
        <f t="shared" si="0"/>
        <v>3036</v>
      </c>
      <c r="H19" s="57">
        <f t="shared" si="1"/>
        <v>0</v>
      </c>
      <c r="I19" s="58">
        <f t="shared" si="17"/>
        <v>0</v>
      </c>
      <c r="J19" s="142">
        <f t="shared" si="2"/>
        <v>2464</v>
      </c>
      <c r="K19" s="142">
        <f t="shared" si="3"/>
        <v>134</v>
      </c>
      <c r="L19" s="142">
        <f t="shared" si="4"/>
        <v>2598</v>
      </c>
      <c r="M19" s="57">
        <f t="shared" si="5"/>
        <v>0</v>
      </c>
      <c r="N19" s="66">
        <f t="shared" si="6"/>
        <v>0</v>
      </c>
      <c r="O19" s="142">
        <f t="shared" si="7"/>
        <v>3937</v>
      </c>
      <c r="P19" s="57">
        <f t="shared" si="8"/>
        <v>0</v>
      </c>
      <c r="Q19" s="58">
        <f t="shared" si="9"/>
        <v>0</v>
      </c>
      <c r="R19" s="58">
        <f t="shared" si="18"/>
        <v>0</v>
      </c>
      <c r="S19" s="61">
        <v>0</v>
      </c>
      <c r="T19" s="61">
        <v>0</v>
      </c>
      <c r="U19" s="58">
        <f t="shared" si="19"/>
        <v>0</v>
      </c>
      <c r="V19" s="58">
        <f t="shared" si="20"/>
        <v>0</v>
      </c>
      <c r="W19" s="58">
        <f t="shared" si="13"/>
        <v>0</v>
      </c>
      <c r="X19" s="142">
        <f t="shared" si="21"/>
        <v>75816</v>
      </c>
      <c r="Y19" s="57">
        <f t="shared" si="10"/>
        <v>0</v>
      </c>
      <c r="Z19" s="57">
        <f t="shared" si="11"/>
        <v>0</v>
      </c>
      <c r="AA19" s="59"/>
      <c r="AB19" s="65"/>
      <c r="AC19" s="58">
        <f t="shared" si="22"/>
        <v>0</v>
      </c>
      <c r="AD19" s="61">
        <f t="shared" si="14"/>
        <v>14</v>
      </c>
      <c r="AE19" s="61"/>
      <c r="AF19" s="58">
        <f t="shared" si="12"/>
        <v>0</v>
      </c>
      <c r="AG19" s="58">
        <f t="shared" si="23"/>
        <v>0</v>
      </c>
      <c r="AH19" s="62"/>
    </row>
    <row r="20" spans="1:35" ht="31.5" customHeight="1">
      <c r="A20" s="64" t="s">
        <v>123</v>
      </c>
      <c r="B20" s="91">
        <v>376</v>
      </c>
      <c r="C20" s="90">
        <v>140.4</v>
      </c>
      <c r="D20" s="142">
        <f t="shared" si="15"/>
        <v>52790</v>
      </c>
      <c r="E20" s="143"/>
      <c r="F20" s="57">
        <f t="shared" si="16"/>
        <v>0</v>
      </c>
      <c r="G20" s="142">
        <f t="shared" si="0"/>
        <v>3180</v>
      </c>
      <c r="H20" s="57">
        <f t="shared" si="1"/>
        <v>0</v>
      </c>
      <c r="I20" s="58">
        <f t="shared" si="17"/>
        <v>0</v>
      </c>
      <c r="J20" s="142">
        <f t="shared" si="2"/>
        <v>2581</v>
      </c>
      <c r="K20" s="142">
        <f t="shared" si="3"/>
        <v>140</v>
      </c>
      <c r="L20" s="142">
        <f t="shared" si="4"/>
        <v>2721</v>
      </c>
      <c r="M20" s="57">
        <f t="shared" si="5"/>
        <v>0</v>
      </c>
      <c r="N20" s="66">
        <f t="shared" si="6"/>
        <v>0</v>
      </c>
      <c r="O20" s="142">
        <f t="shared" si="7"/>
        <v>3937</v>
      </c>
      <c r="P20" s="57">
        <f t="shared" si="8"/>
        <v>0</v>
      </c>
      <c r="Q20" s="58">
        <f t="shared" si="9"/>
        <v>0</v>
      </c>
      <c r="R20" s="58">
        <f t="shared" si="18"/>
        <v>0</v>
      </c>
      <c r="S20" s="61">
        <v>0</v>
      </c>
      <c r="T20" s="61">
        <v>0</v>
      </c>
      <c r="U20" s="58">
        <f t="shared" si="19"/>
        <v>0</v>
      </c>
      <c r="V20" s="58">
        <f t="shared" si="20"/>
        <v>0</v>
      </c>
      <c r="W20" s="58">
        <f t="shared" si="13"/>
        <v>0</v>
      </c>
      <c r="X20" s="142">
        <f>ROUND(D20*1.5,0)</f>
        <v>79185</v>
      </c>
      <c r="Y20" s="57">
        <f t="shared" si="10"/>
        <v>0</v>
      </c>
      <c r="Z20" s="57">
        <f t="shared" si="11"/>
        <v>0</v>
      </c>
      <c r="AA20" s="59"/>
      <c r="AB20" s="65"/>
      <c r="AC20" s="58">
        <f t="shared" si="22"/>
        <v>0</v>
      </c>
      <c r="AD20" s="61">
        <f t="shared" si="14"/>
        <v>15</v>
      </c>
      <c r="AE20" s="61"/>
      <c r="AF20" s="58">
        <f t="shared" si="12"/>
        <v>0</v>
      </c>
      <c r="AG20" s="58">
        <f t="shared" si="23"/>
        <v>0</v>
      </c>
      <c r="AH20" s="62"/>
      <c r="AI20" s="63"/>
    </row>
    <row r="21" spans="1:34" ht="31.5" customHeight="1">
      <c r="A21" s="64" t="s">
        <v>123</v>
      </c>
      <c r="B21" s="91">
        <v>392</v>
      </c>
      <c r="C21" s="90">
        <v>140.4</v>
      </c>
      <c r="D21" s="142">
        <f t="shared" si="15"/>
        <v>55037</v>
      </c>
      <c r="E21" s="143"/>
      <c r="F21" s="57">
        <f t="shared" si="16"/>
        <v>0</v>
      </c>
      <c r="G21" s="142">
        <f t="shared" si="0"/>
        <v>3324</v>
      </c>
      <c r="H21" s="57">
        <f t="shared" si="1"/>
        <v>0</v>
      </c>
      <c r="I21" s="58">
        <f t="shared" si="17"/>
        <v>0</v>
      </c>
      <c r="J21" s="142">
        <f t="shared" si="2"/>
        <v>2698</v>
      </c>
      <c r="K21" s="142">
        <f t="shared" si="3"/>
        <v>146</v>
      </c>
      <c r="L21" s="142">
        <f t="shared" si="4"/>
        <v>2844</v>
      </c>
      <c r="M21" s="57">
        <f t="shared" si="5"/>
        <v>0</v>
      </c>
      <c r="N21" s="66">
        <f t="shared" si="6"/>
        <v>0</v>
      </c>
      <c r="O21" s="142">
        <f t="shared" si="7"/>
        <v>3937</v>
      </c>
      <c r="P21" s="57">
        <f t="shared" si="8"/>
        <v>0</v>
      </c>
      <c r="Q21" s="58">
        <f t="shared" si="9"/>
        <v>0</v>
      </c>
      <c r="R21" s="58">
        <f t="shared" si="18"/>
        <v>0</v>
      </c>
      <c r="S21" s="61">
        <v>0</v>
      </c>
      <c r="T21" s="61">
        <v>0</v>
      </c>
      <c r="U21" s="58">
        <f t="shared" si="19"/>
        <v>0</v>
      </c>
      <c r="V21" s="58">
        <f t="shared" si="20"/>
        <v>0</v>
      </c>
      <c r="W21" s="58">
        <f t="shared" si="13"/>
        <v>0</v>
      </c>
      <c r="X21" s="142">
        <f t="shared" si="21"/>
        <v>82556</v>
      </c>
      <c r="Y21" s="57">
        <f t="shared" si="10"/>
        <v>0</v>
      </c>
      <c r="Z21" s="57">
        <f t="shared" si="11"/>
        <v>0</v>
      </c>
      <c r="AA21" s="59"/>
      <c r="AB21" s="65"/>
      <c r="AC21" s="58">
        <f t="shared" si="22"/>
        <v>0</v>
      </c>
      <c r="AD21" s="61">
        <f>AD20+1</f>
        <v>16</v>
      </c>
      <c r="AE21" s="61"/>
      <c r="AF21" s="58">
        <f t="shared" si="12"/>
        <v>0</v>
      </c>
      <c r="AG21" s="58">
        <f t="shared" si="23"/>
        <v>0</v>
      </c>
      <c r="AH21" s="62"/>
    </row>
    <row r="22" spans="1:34" ht="31.5" customHeight="1">
      <c r="A22" s="64" t="s">
        <v>124</v>
      </c>
      <c r="B22" s="91">
        <v>408</v>
      </c>
      <c r="C22" s="90">
        <v>140.4</v>
      </c>
      <c r="D22" s="142">
        <f t="shared" si="15"/>
        <v>57283</v>
      </c>
      <c r="E22" s="143"/>
      <c r="F22" s="57">
        <f t="shared" si="16"/>
        <v>0</v>
      </c>
      <c r="G22" s="142">
        <f t="shared" si="0"/>
        <v>3468</v>
      </c>
      <c r="H22" s="57">
        <f t="shared" si="1"/>
        <v>0</v>
      </c>
      <c r="I22" s="58">
        <f t="shared" si="17"/>
        <v>0</v>
      </c>
      <c r="J22" s="142">
        <f t="shared" si="2"/>
        <v>2815</v>
      </c>
      <c r="K22" s="142">
        <f t="shared" si="3"/>
        <v>152</v>
      </c>
      <c r="L22" s="142">
        <f t="shared" si="4"/>
        <v>2967</v>
      </c>
      <c r="M22" s="57">
        <f t="shared" si="5"/>
        <v>0</v>
      </c>
      <c r="N22" s="66">
        <f t="shared" si="6"/>
        <v>0</v>
      </c>
      <c r="O22" s="142">
        <f t="shared" si="7"/>
        <v>3937</v>
      </c>
      <c r="P22" s="57">
        <f t="shared" si="8"/>
        <v>0</v>
      </c>
      <c r="Q22" s="58">
        <f t="shared" si="9"/>
        <v>0</v>
      </c>
      <c r="R22" s="58">
        <f t="shared" si="18"/>
        <v>0</v>
      </c>
      <c r="S22" s="61">
        <v>0</v>
      </c>
      <c r="T22" s="61">
        <v>0</v>
      </c>
      <c r="U22" s="58">
        <f t="shared" si="19"/>
        <v>0</v>
      </c>
      <c r="V22" s="58">
        <f t="shared" si="20"/>
        <v>0</v>
      </c>
      <c r="W22" s="58">
        <f t="shared" si="13"/>
        <v>0</v>
      </c>
      <c r="X22" s="142">
        <f t="shared" si="21"/>
        <v>85925</v>
      </c>
      <c r="Y22" s="57">
        <f t="shared" si="10"/>
        <v>0</v>
      </c>
      <c r="Z22" s="57">
        <f t="shared" si="11"/>
        <v>0</v>
      </c>
      <c r="AA22" s="59"/>
      <c r="AB22" s="65"/>
      <c r="AC22" s="58">
        <f t="shared" si="22"/>
        <v>0</v>
      </c>
      <c r="AD22" s="61">
        <f>AD21+1</f>
        <v>17</v>
      </c>
      <c r="AE22" s="61"/>
      <c r="AF22" s="58">
        <f t="shared" si="12"/>
        <v>0</v>
      </c>
      <c r="AG22" s="58">
        <f t="shared" si="23"/>
        <v>0</v>
      </c>
      <c r="AH22" s="62"/>
    </row>
    <row r="23" spans="1:34" ht="31.5" customHeight="1">
      <c r="A23" s="64" t="s">
        <v>123</v>
      </c>
      <c r="B23" s="91">
        <v>424</v>
      </c>
      <c r="C23" s="90">
        <v>140.4</v>
      </c>
      <c r="D23" s="142">
        <f t="shared" si="15"/>
        <v>59530</v>
      </c>
      <c r="E23" s="143"/>
      <c r="F23" s="57">
        <f t="shared" si="16"/>
        <v>0</v>
      </c>
      <c r="G23" s="142">
        <f t="shared" si="0"/>
        <v>3648</v>
      </c>
      <c r="H23" s="57">
        <f t="shared" si="1"/>
        <v>0</v>
      </c>
      <c r="I23" s="58">
        <f t="shared" si="17"/>
        <v>0</v>
      </c>
      <c r="J23" s="142">
        <f t="shared" si="2"/>
        <v>2961</v>
      </c>
      <c r="K23" s="142">
        <f t="shared" si="3"/>
        <v>158</v>
      </c>
      <c r="L23" s="142">
        <f t="shared" si="4"/>
        <v>3119</v>
      </c>
      <c r="M23" s="57">
        <f t="shared" si="5"/>
        <v>0</v>
      </c>
      <c r="N23" s="66">
        <f t="shared" si="6"/>
        <v>0</v>
      </c>
      <c r="O23" s="142">
        <f t="shared" si="7"/>
        <v>3937</v>
      </c>
      <c r="P23" s="57">
        <f t="shared" si="8"/>
        <v>0</v>
      </c>
      <c r="Q23" s="58">
        <f t="shared" si="9"/>
        <v>0</v>
      </c>
      <c r="R23" s="58">
        <f t="shared" si="18"/>
        <v>0</v>
      </c>
      <c r="S23" s="61">
        <v>0</v>
      </c>
      <c r="T23" s="61">
        <v>0</v>
      </c>
      <c r="U23" s="58">
        <f t="shared" si="19"/>
        <v>0</v>
      </c>
      <c r="V23" s="58">
        <f t="shared" si="20"/>
        <v>0</v>
      </c>
      <c r="W23" s="58">
        <f t="shared" si="13"/>
        <v>0</v>
      </c>
      <c r="X23" s="142">
        <f t="shared" si="21"/>
        <v>89295</v>
      </c>
      <c r="Y23" s="57">
        <f t="shared" si="10"/>
        <v>0</v>
      </c>
      <c r="Z23" s="57">
        <f t="shared" si="11"/>
        <v>0</v>
      </c>
      <c r="AA23" s="59"/>
      <c r="AB23" s="65"/>
      <c r="AC23" s="58">
        <f t="shared" si="22"/>
        <v>0</v>
      </c>
      <c r="AD23" s="61">
        <f>AD22+1</f>
        <v>18</v>
      </c>
      <c r="AE23" s="61"/>
      <c r="AF23" s="58">
        <f t="shared" si="12"/>
        <v>0</v>
      </c>
      <c r="AG23" s="58">
        <f t="shared" si="23"/>
        <v>0</v>
      </c>
      <c r="AH23" s="62"/>
    </row>
    <row r="24" spans="1:34" ht="31.5" customHeight="1">
      <c r="A24" s="64" t="s">
        <v>123</v>
      </c>
      <c r="B24" s="91">
        <v>440</v>
      </c>
      <c r="C24" s="90">
        <v>140.4</v>
      </c>
      <c r="D24" s="142">
        <f t="shared" si="15"/>
        <v>61776</v>
      </c>
      <c r="E24" s="143"/>
      <c r="F24" s="57">
        <f t="shared" si="16"/>
        <v>0</v>
      </c>
      <c r="G24" s="142">
        <f t="shared" si="0"/>
        <v>3828</v>
      </c>
      <c r="H24" s="57">
        <f t="shared" si="1"/>
        <v>0</v>
      </c>
      <c r="I24" s="58">
        <f t="shared" si="17"/>
        <v>0</v>
      </c>
      <c r="J24" s="142">
        <f t="shared" si="2"/>
        <v>3107</v>
      </c>
      <c r="K24" s="142">
        <f t="shared" si="3"/>
        <v>163</v>
      </c>
      <c r="L24" s="142">
        <f t="shared" si="4"/>
        <v>3270</v>
      </c>
      <c r="M24" s="57">
        <f t="shared" si="5"/>
        <v>0</v>
      </c>
      <c r="N24" s="66">
        <f t="shared" si="6"/>
        <v>0</v>
      </c>
      <c r="O24" s="142">
        <f t="shared" si="7"/>
        <v>3937</v>
      </c>
      <c r="P24" s="57">
        <f t="shared" si="8"/>
        <v>0</v>
      </c>
      <c r="Q24" s="58">
        <f t="shared" si="9"/>
        <v>0</v>
      </c>
      <c r="R24" s="58">
        <f t="shared" si="18"/>
        <v>0</v>
      </c>
      <c r="S24" s="61">
        <v>0</v>
      </c>
      <c r="T24" s="61">
        <v>0</v>
      </c>
      <c r="U24" s="58">
        <f t="shared" si="19"/>
        <v>0</v>
      </c>
      <c r="V24" s="58">
        <f t="shared" si="20"/>
        <v>0</v>
      </c>
      <c r="W24" s="58">
        <f t="shared" si="13"/>
        <v>0</v>
      </c>
      <c r="X24" s="142">
        <f t="shared" si="21"/>
        <v>92664</v>
      </c>
      <c r="Y24" s="57">
        <f t="shared" si="10"/>
        <v>0</v>
      </c>
      <c r="Z24" s="57">
        <f t="shared" si="11"/>
        <v>0</v>
      </c>
      <c r="AA24" s="59"/>
      <c r="AB24" s="65"/>
      <c r="AC24" s="58">
        <f t="shared" si="22"/>
        <v>0</v>
      </c>
      <c r="AD24" s="61">
        <f>AD23+1</f>
        <v>19</v>
      </c>
      <c r="AE24" s="61"/>
      <c r="AF24" s="58">
        <f t="shared" si="12"/>
        <v>0</v>
      </c>
      <c r="AG24" s="58">
        <f t="shared" si="23"/>
        <v>0</v>
      </c>
      <c r="AH24" s="62"/>
    </row>
    <row r="25" spans="1:35" s="92" customFormat="1" ht="31.5" customHeight="1">
      <c r="A25" s="92" t="s">
        <v>173</v>
      </c>
      <c r="B25" s="93">
        <v>296</v>
      </c>
      <c r="C25" s="94">
        <v>144.1</v>
      </c>
      <c r="D25" s="142">
        <f t="shared" si="15"/>
        <v>42654</v>
      </c>
      <c r="E25" s="144"/>
      <c r="F25" s="57">
        <f t="shared" si="16"/>
        <v>0</v>
      </c>
      <c r="G25" s="142">
        <f t="shared" si="0"/>
        <v>2634</v>
      </c>
      <c r="H25" s="115">
        <f t="shared" si="1"/>
        <v>0</v>
      </c>
      <c r="I25" s="58">
        <f t="shared" si="17"/>
        <v>0</v>
      </c>
      <c r="J25" s="142">
        <f t="shared" si="2"/>
        <v>2138</v>
      </c>
      <c r="K25" s="142">
        <f t="shared" si="3"/>
        <v>113</v>
      </c>
      <c r="L25" s="142">
        <f t="shared" si="4"/>
        <v>2251</v>
      </c>
      <c r="M25" s="115">
        <f t="shared" si="5"/>
        <v>0</v>
      </c>
      <c r="N25" s="66">
        <f t="shared" si="6"/>
        <v>0</v>
      </c>
      <c r="O25" s="142">
        <f t="shared" si="7"/>
        <v>3773</v>
      </c>
      <c r="P25" s="115">
        <f t="shared" si="8"/>
        <v>0</v>
      </c>
      <c r="Q25" s="116">
        <f t="shared" si="9"/>
        <v>0</v>
      </c>
      <c r="R25" s="58">
        <f t="shared" si="18"/>
        <v>0</v>
      </c>
      <c r="S25" s="61">
        <v>0</v>
      </c>
      <c r="T25" s="61">
        <v>0</v>
      </c>
      <c r="U25" s="58">
        <f t="shared" si="19"/>
        <v>0</v>
      </c>
      <c r="V25" s="58">
        <f t="shared" si="20"/>
        <v>0</v>
      </c>
      <c r="W25" s="58">
        <f t="shared" si="13"/>
        <v>0</v>
      </c>
      <c r="X25" s="142">
        <f t="shared" si="21"/>
        <v>63981</v>
      </c>
      <c r="Y25" s="115">
        <f t="shared" si="10"/>
        <v>0</v>
      </c>
      <c r="Z25" s="57">
        <f t="shared" si="11"/>
        <v>0</v>
      </c>
      <c r="AA25" s="95"/>
      <c r="AB25" s="96"/>
      <c r="AC25" s="58">
        <f t="shared" si="22"/>
        <v>0</v>
      </c>
      <c r="AD25" s="61">
        <f>AD24+1</f>
        <v>20</v>
      </c>
      <c r="AE25" s="97"/>
      <c r="AF25" s="58">
        <f t="shared" si="12"/>
        <v>0</v>
      </c>
      <c r="AG25" s="58">
        <f t="shared" si="23"/>
        <v>0</v>
      </c>
      <c r="AH25" s="98"/>
      <c r="AI25" s="99"/>
    </row>
    <row r="26" spans="1:35" s="92" customFormat="1" ht="31.5" customHeight="1">
      <c r="A26" s="92" t="s">
        <v>125</v>
      </c>
      <c r="B26" s="93">
        <v>300</v>
      </c>
      <c r="C26" s="94">
        <v>144.1</v>
      </c>
      <c r="D26" s="142">
        <f>VLOOKUP($B26,IF(A26="一般",一般性社工,保護性社工),2,0)</f>
        <v>43230</v>
      </c>
      <c r="E26" s="144"/>
      <c r="F26" s="57">
        <f>D26*E26</f>
        <v>0</v>
      </c>
      <c r="G26" s="142">
        <f>VLOOKUP($B26,IF(A26="一般",一般性社工,保護性社工),11,0)</f>
        <v>2634</v>
      </c>
      <c r="H26" s="115">
        <f t="shared" si="1"/>
        <v>0</v>
      </c>
      <c r="I26" s="58">
        <f>G26*H26</f>
        <v>0</v>
      </c>
      <c r="J26" s="142">
        <f>VLOOKUP($B26,IF(A26="一般",一般性社工,保護性社工),7,0)</f>
        <v>2138</v>
      </c>
      <c r="K26" s="142">
        <f>VLOOKUP($B26,IF(A26="一般",一般性社工,保護性社工),8,0)</f>
        <v>115</v>
      </c>
      <c r="L26" s="142">
        <f>J26+K26</f>
        <v>2253</v>
      </c>
      <c r="M26" s="115">
        <f t="shared" si="5"/>
        <v>0</v>
      </c>
      <c r="N26" s="66">
        <f>L26*M26</f>
        <v>0</v>
      </c>
      <c r="O26" s="142">
        <f>VLOOKUP($B26,IF(A26="一般",一般性社工,保護性社工),5,0)</f>
        <v>3773</v>
      </c>
      <c r="P26" s="115">
        <f t="shared" si="8"/>
        <v>0</v>
      </c>
      <c r="Q26" s="116">
        <f>O26*P26:P26</f>
        <v>0</v>
      </c>
      <c r="R26" s="58">
        <f>N26+Q26</f>
        <v>0</v>
      </c>
      <c r="S26" s="61">
        <v>0</v>
      </c>
      <c r="T26" s="61">
        <v>0</v>
      </c>
      <c r="U26" s="58">
        <f>S26*T26</f>
        <v>0</v>
      </c>
      <c r="V26" s="58">
        <f>F26+I26+R26+U26</f>
        <v>0</v>
      </c>
      <c r="W26" s="58">
        <f t="shared" si="13"/>
        <v>0</v>
      </c>
      <c r="X26" s="142">
        <f>ROUND(D26*1.5,0)</f>
        <v>64845</v>
      </c>
      <c r="Y26" s="115">
        <f t="shared" si="10"/>
        <v>0</v>
      </c>
      <c r="Z26" s="57">
        <f>X26*Y26</f>
        <v>0</v>
      </c>
      <c r="AA26" s="95"/>
      <c r="AB26" s="96"/>
      <c r="AC26" s="58">
        <f>AA26*AB26</f>
        <v>0</v>
      </c>
      <c r="AD26" s="66"/>
      <c r="AE26" s="100"/>
      <c r="AF26" s="58"/>
      <c r="AG26" s="58">
        <f>W26+Z26+AC26+AF26</f>
        <v>0</v>
      </c>
      <c r="AH26" s="98"/>
      <c r="AI26" s="99"/>
    </row>
    <row r="27" spans="1:35" s="92" customFormat="1" ht="31.5" customHeight="1">
      <c r="A27" s="92" t="s">
        <v>125</v>
      </c>
      <c r="B27" s="93">
        <v>310</v>
      </c>
      <c r="C27" s="94">
        <v>144.1</v>
      </c>
      <c r="D27" s="142">
        <f>VLOOKUP($B27,IF(A27="一般",一般性社工,保護性社工),2,0)</f>
        <v>44671</v>
      </c>
      <c r="E27" s="144"/>
      <c r="F27" s="57">
        <f>D27*E27</f>
        <v>0</v>
      </c>
      <c r="G27" s="142">
        <f>VLOOKUP($B27,IF(A27="一般",一般性社工,保護性社工),11,0)</f>
        <v>2748</v>
      </c>
      <c r="H27" s="115">
        <f t="shared" si="1"/>
        <v>0</v>
      </c>
      <c r="I27" s="58">
        <f>G27*H27</f>
        <v>0</v>
      </c>
      <c r="J27" s="142">
        <f>VLOOKUP($B27,IF(A27="一般",一般性社工,保護性社工),7,0)</f>
        <v>2231</v>
      </c>
      <c r="K27" s="142">
        <f>VLOOKUP($B27,IF(A27="一般",一般性社工,保護性社工),8,0)</f>
        <v>118</v>
      </c>
      <c r="L27" s="142">
        <f>J27+K27</f>
        <v>2349</v>
      </c>
      <c r="M27" s="115">
        <f t="shared" si="5"/>
        <v>0</v>
      </c>
      <c r="N27" s="66">
        <f>L27*M27</f>
        <v>0</v>
      </c>
      <c r="O27" s="142">
        <f>VLOOKUP($B27,IF(A27="一般",一般性社工,保護性社工),5,0)</f>
        <v>3937</v>
      </c>
      <c r="P27" s="115">
        <f t="shared" si="8"/>
        <v>0</v>
      </c>
      <c r="Q27" s="116">
        <f>O27*P27:P27</f>
        <v>0</v>
      </c>
      <c r="R27" s="58">
        <f>N27+Q27</f>
        <v>0</v>
      </c>
      <c r="S27" s="61">
        <v>0</v>
      </c>
      <c r="T27" s="61">
        <v>0</v>
      </c>
      <c r="U27" s="58">
        <f>S27*T27</f>
        <v>0</v>
      </c>
      <c r="V27" s="58">
        <f>F27+I27+R27+U27</f>
        <v>0</v>
      </c>
      <c r="W27" s="58">
        <f t="shared" si="13"/>
        <v>0</v>
      </c>
      <c r="X27" s="142">
        <f>ROUND(D27*1.5,0)</f>
        <v>67007</v>
      </c>
      <c r="Y27" s="115">
        <f t="shared" si="10"/>
        <v>0</v>
      </c>
      <c r="Z27" s="57">
        <f>X27*Y27</f>
        <v>0</v>
      </c>
      <c r="AA27" s="95"/>
      <c r="AB27" s="96"/>
      <c r="AC27" s="58">
        <f>AA27*AB27</f>
        <v>0</v>
      </c>
      <c r="AD27" s="66"/>
      <c r="AE27" s="100"/>
      <c r="AF27" s="58"/>
      <c r="AG27" s="58">
        <f>W27+Z27+AC27+AF27</f>
        <v>0</v>
      </c>
      <c r="AH27" s="98"/>
      <c r="AI27" s="99"/>
    </row>
    <row r="28" spans="1:34" s="92" customFormat="1" ht="31.5" customHeight="1">
      <c r="A28" s="92" t="s">
        <v>125</v>
      </c>
      <c r="B28" s="93">
        <v>312</v>
      </c>
      <c r="C28" s="94">
        <v>144.1</v>
      </c>
      <c r="D28" s="142">
        <f t="shared" si="15"/>
        <v>44959</v>
      </c>
      <c r="E28" s="144"/>
      <c r="F28" s="57">
        <f t="shared" si="16"/>
        <v>0</v>
      </c>
      <c r="G28" s="142">
        <f t="shared" si="0"/>
        <v>2748</v>
      </c>
      <c r="H28" s="115">
        <f t="shared" si="1"/>
        <v>0</v>
      </c>
      <c r="I28" s="58">
        <f t="shared" si="17"/>
        <v>0</v>
      </c>
      <c r="J28" s="142">
        <f t="shared" si="2"/>
        <v>2231</v>
      </c>
      <c r="K28" s="142">
        <f t="shared" si="3"/>
        <v>119</v>
      </c>
      <c r="L28" s="142">
        <f t="shared" si="4"/>
        <v>2350</v>
      </c>
      <c r="M28" s="115">
        <f t="shared" si="5"/>
        <v>0</v>
      </c>
      <c r="N28" s="66">
        <f t="shared" si="6"/>
        <v>0</v>
      </c>
      <c r="O28" s="142">
        <f t="shared" si="7"/>
        <v>3937</v>
      </c>
      <c r="P28" s="115">
        <f t="shared" si="8"/>
        <v>0</v>
      </c>
      <c r="Q28" s="116">
        <f t="shared" si="9"/>
        <v>0</v>
      </c>
      <c r="R28" s="58">
        <f t="shared" si="18"/>
        <v>0</v>
      </c>
      <c r="S28" s="61">
        <v>0</v>
      </c>
      <c r="T28" s="61">
        <v>0</v>
      </c>
      <c r="U28" s="58">
        <f t="shared" si="19"/>
        <v>0</v>
      </c>
      <c r="V28" s="58">
        <f t="shared" si="20"/>
        <v>0</v>
      </c>
      <c r="W28" s="58">
        <f t="shared" si="13"/>
        <v>0</v>
      </c>
      <c r="X28" s="142">
        <f t="shared" si="21"/>
        <v>67439</v>
      </c>
      <c r="Y28" s="115">
        <f t="shared" si="10"/>
        <v>0</v>
      </c>
      <c r="Z28" s="57">
        <f t="shared" si="11"/>
        <v>0</v>
      </c>
      <c r="AA28" s="95"/>
      <c r="AB28" s="96"/>
      <c r="AC28" s="58">
        <f t="shared" si="22"/>
        <v>0</v>
      </c>
      <c r="AD28" s="66"/>
      <c r="AE28" s="100"/>
      <c r="AF28" s="58"/>
      <c r="AG28" s="58">
        <f t="shared" si="23"/>
        <v>0</v>
      </c>
      <c r="AH28" s="98"/>
    </row>
    <row r="29" spans="1:34" s="92" customFormat="1" ht="31.5" customHeight="1">
      <c r="A29" s="92" t="s">
        <v>125</v>
      </c>
      <c r="B29" s="93">
        <v>320</v>
      </c>
      <c r="C29" s="94">
        <v>144.1</v>
      </c>
      <c r="D29" s="142">
        <f>VLOOKUP($B29,IF(A29="一般",一般性社工,保護性社工),2,0)</f>
        <v>46112</v>
      </c>
      <c r="E29" s="144"/>
      <c r="F29" s="57">
        <f>D29*E29</f>
        <v>0</v>
      </c>
      <c r="G29" s="142">
        <f>VLOOKUP($B29,IF(A29="一般",一般性社工,保護性社工),11,0)</f>
        <v>2892</v>
      </c>
      <c r="H29" s="115">
        <f t="shared" si="1"/>
        <v>0</v>
      </c>
      <c r="I29" s="58">
        <f>G29*H29</f>
        <v>0</v>
      </c>
      <c r="J29" s="142">
        <f>VLOOKUP($B29,IF(A29="一般",一般性社工,保護性社工),7,0)</f>
        <v>2347</v>
      </c>
      <c r="K29" s="142">
        <f>VLOOKUP($B29,IF(A29="一般",一般性社工,保護性社工),8,0)</f>
        <v>122</v>
      </c>
      <c r="L29" s="142">
        <f>J29+K29</f>
        <v>2469</v>
      </c>
      <c r="M29" s="115">
        <f t="shared" si="5"/>
        <v>0</v>
      </c>
      <c r="N29" s="66">
        <f>L29*M29</f>
        <v>0</v>
      </c>
      <c r="O29" s="142">
        <f>VLOOKUP($B29,IF(A29="一般",一般性社工,保護性社工),5,0)</f>
        <v>3937</v>
      </c>
      <c r="P29" s="115">
        <f t="shared" si="8"/>
        <v>0</v>
      </c>
      <c r="Q29" s="116">
        <f>O29*P29:P29</f>
        <v>0</v>
      </c>
      <c r="R29" s="58">
        <f>N29+Q29</f>
        <v>0</v>
      </c>
      <c r="S29" s="61">
        <v>0</v>
      </c>
      <c r="T29" s="61">
        <v>0</v>
      </c>
      <c r="U29" s="58">
        <f>S29*T29</f>
        <v>0</v>
      </c>
      <c r="V29" s="58">
        <f>F29+I29+R29+U29</f>
        <v>0</v>
      </c>
      <c r="W29" s="58">
        <f t="shared" si="13"/>
        <v>0</v>
      </c>
      <c r="X29" s="142">
        <f>ROUND(D29*1.5,0)</f>
        <v>69168</v>
      </c>
      <c r="Y29" s="115">
        <f t="shared" si="10"/>
        <v>0</v>
      </c>
      <c r="Z29" s="57">
        <f>X29*Y29</f>
        <v>0</v>
      </c>
      <c r="AA29" s="95"/>
      <c r="AB29" s="96"/>
      <c r="AC29" s="58">
        <f>AA29*AB29</f>
        <v>0</v>
      </c>
      <c r="AD29" s="66"/>
      <c r="AE29" s="100"/>
      <c r="AF29" s="58"/>
      <c r="AG29" s="58">
        <f>W29+Z29+AC29+AF29</f>
        <v>0</v>
      </c>
      <c r="AH29" s="98"/>
    </row>
    <row r="30" spans="1:34" s="92" customFormat="1" ht="31.5" customHeight="1">
      <c r="A30" s="92" t="s">
        <v>125</v>
      </c>
      <c r="B30" s="93">
        <v>328</v>
      </c>
      <c r="C30" s="94">
        <v>144.1</v>
      </c>
      <c r="D30" s="142">
        <f t="shared" si="15"/>
        <v>47265</v>
      </c>
      <c r="E30" s="144"/>
      <c r="F30" s="57">
        <f t="shared" si="16"/>
        <v>0</v>
      </c>
      <c r="G30" s="142">
        <f t="shared" si="0"/>
        <v>2892</v>
      </c>
      <c r="H30" s="115">
        <f t="shared" si="1"/>
        <v>0</v>
      </c>
      <c r="I30" s="58">
        <f t="shared" si="17"/>
        <v>0</v>
      </c>
      <c r="J30" s="142">
        <f t="shared" si="2"/>
        <v>2347</v>
      </c>
      <c r="K30" s="142">
        <f t="shared" si="3"/>
        <v>125</v>
      </c>
      <c r="L30" s="142">
        <f t="shared" si="4"/>
        <v>2472</v>
      </c>
      <c r="M30" s="115">
        <f t="shared" si="5"/>
        <v>0</v>
      </c>
      <c r="N30" s="66">
        <f t="shared" si="6"/>
        <v>0</v>
      </c>
      <c r="O30" s="142">
        <f t="shared" si="7"/>
        <v>3937</v>
      </c>
      <c r="P30" s="115">
        <f t="shared" si="8"/>
        <v>0</v>
      </c>
      <c r="Q30" s="116">
        <f t="shared" si="9"/>
        <v>0</v>
      </c>
      <c r="R30" s="58">
        <f t="shared" si="18"/>
        <v>0</v>
      </c>
      <c r="S30" s="61">
        <v>0</v>
      </c>
      <c r="T30" s="61">
        <v>0</v>
      </c>
      <c r="U30" s="58">
        <f t="shared" si="19"/>
        <v>0</v>
      </c>
      <c r="V30" s="58">
        <f t="shared" si="20"/>
        <v>0</v>
      </c>
      <c r="W30" s="58">
        <f t="shared" si="13"/>
        <v>0</v>
      </c>
      <c r="X30" s="142">
        <f t="shared" si="21"/>
        <v>70898</v>
      </c>
      <c r="Y30" s="115">
        <f t="shared" si="10"/>
        <v>0</v>
      </c>
      <c r="Z30" s="57">
        <f t="shared" si="11"/>
        <v>0</v>
      </c>
      <c r="AA30" s="95"/>
      <c r="AB30" s="96"/>
      <c r="AC30" s="58">
        <f t="shared" si="22"/>
        <v>0</v>
      </c>
      <c r="AD30" s="66"/>
      <c r="AE30" s="100"/>
      <c r="AF30" s="58"/>
      <c r="AG30" s="58">
        <f t="shared" si="23"/>
        <v>0</v>
      </c>
      <c r="AH30" s="98"/>
    </row>
    <row r="31" spans="1:34" s="92" customFormat="1" ht="31.5" customHeight="1">
      <c r="A31" s="92" t="s">
        <v>125</v>
      </c>
      <c r="B31" s="93">
        <v>330</v>
      </c>
      <c r="C31" s="94">
        <v>144.1</v>
      </c>
      <c r="D31" s="142">
        <f>VLOOKUP($B31,IF(A31="一般",一般性社工,保護性社工),2,0)</f>
        <v>47553</v>
      </c>
      <c r="E31" s="144"/>
      <c r="F31" s="57">
        <f>D31*E31</f>
        <v>0</v>
      </c>
      <c r="G31" s="142">
        <f>VLOOKUP($B31,IF(A31="一般",一般性社工,保護性社工),11,0)</f>
        <v>2892</v>
      </c>
      <c r="H31" s="115">
        <f t="shared" si="1"/>
        <v>0</v>
      </c>
      <c r="I31" s="58">
        <f>G31*H31</f>
        <v>0</v>
      </c>
      <c r="J31" s="142">
        <f>VLOOKUP($B31,IF(A31="一般",一般性社工,保護性社工),7,0)</f>
        <v>2347</v>
      </c>
      <c r="K31" s="142">
        <f>VLOOKUP($B31,IF(A31="一般",一般性社工,保護性社工),8,0)</f>
        <v>126</v>
      </c>
      <c r="L31" s="142">
        <f>J31+K31</f>
        <v>2473</v>
      </c>
      <c r="M31" s="115">
        <f t="shared" si="5"/>
        <v>0</v>
      </c>
      <c r="N31" s="66">
        <f>L31*M31</f>
        <v>0</v>
      </c>
      <c r="O31" s="142">
        <f>VLOOKUP($B31,IF(A31="一般",一般性社工,保護性社工),5,0)</f>
        <v>3937</v>
      </c>
      <c r="P31" s="115">
        <f t="shared" si="8"/>
        <v>0</v>
      </c>
      <c r="Q31" s="116">
        <f>O31*P31:P31</f>
        <v>0</v>
      </c>
      <c r="R31" s="58">
        <f>N31+Q31</f>
        <v>0</v>
      </c>
      <c r="S31" s="61">
        <v>0</v>
      </c>
      <c r="T31" s="61">
        <v>0</v>
      </c>
      <c r="U31" s="58">
        <f>S31*T31</f>
        <v>0</v>
      </c>
      <c r="V31" s="58">
        <f>F31+I31+R31+U31</f>
        <v>0</v>
      </c>
      <c r="W31" s="58">
        <f t="shared" si="13"/>
        <v>0</v>
      </c>
      <c r="X31" s="142">
        <f>ROUND(D31*1.5,0)</f>
        <v>71330</v>
      </c>
      <c r="Y31" s="115">
        <f t="shared" si="10"/>
        <v>0</v>
      </c>
      <c r="Z31" s="57">
        <f>X31*Y31</f>
        <v>0</v>
      </c>
      <c r="AA31" s="95"/>
      <c r="AB31" s="96"/>
      <c r="AC31" s="58">
        <f>AA31*AB31</f>
        <v>0</v>
      </c>
      <c r="AD31" s="66"/>
      <c r="AE31" s="100"/>
      <c r="AF31" s="58"/>
      <c r="AG31" s="58">
        <f>W31+Z31+AC31+AF31</f>
        <v>0</v>
      </c>
      <c r="AH31" s="98"/>
    </row>
    <row r="32" spans="1:34" s="92" customFormat="1" ht="31.5" customHeight="1">
      <c r="A32" s="92" t="s">
        <v>125</v>
      </c>
      <c r="B32" s="93">
        <v>344</v>
      </c>
      <c r="C32" s="94">
        <v>144.1</v>
      </c>
      <c r="D32" s="142">
        <f t="shared" si="15"/>
        <v>49570</v>
      </c>
      <c r="E32" s="144"/>
      <c r="F32" s="57">
        <f t="shared" si="16"/>
        <v>0</v>
      </c>
      <c r="G32" s="142">
        <f t="shared" si="0"/>
        <v>3036</v>
      </c>
      <c r="H32" s="115">
        <f t="shared" si="1"/>
        <v>0</v>
      </c>
      <c r="I32" s="58">
        <f t="shared" si="17"/>
        <v>0</v>
      </c>
      <c r="J32" s="142">
        <f t="shared" si="2"/>
        <v>2464</v>
      </c>
      <c r="K32" s="142">
        <f t="shared" si="3"/>
        <v>131</v>
      </c>
      <c r="L32" s="142">
        <f t="shared" si="4"/>
        <v>2595</v>
      </c>
      <c r="M32" s="115">
        <f t="shared" si="5"/>
        <v>0</v>
      </c>
      <c r="N32" s="66">
        <f t="shared" si="6"/>
        <v>0</v>
      </c>
      <c r="O32" s="142">
        <f t="shared" si="7"/>
        <v>3937</v>
      </c>
      <c r="P32" s="115">
        <f t="shared" si="8"/>
        <v>0</v>
      </c>
      <c r="Q32" s="116">
        <f t="shared" si="9"/>
        <v>0</v>
      </c>
      <c r="R32" s="58">
        <f t="shared" si="18"/>
        <v>0</v>
      </c>
      <c r="S32" s="61">
        <v>0</v>
      </c>
      <c r="T32" s="61">
        <v>0</v>
      </c>
      <c r="U32" s="58">
        <f t="shared" si="19"/>
        <v>0</v>
      </c>
      <c r="V32" s="58">
        <f t="shared" si="20"/>
        <v>0</v>
      </c>
      <c r="W32" s="58">
        <f t="shared" si="13"/>
        <v>0</v>
      </c>
      <c r="X32" s="142">
        <f t="shared" si="21"/>
        <v>74355</v>
      </c>
      <c r="Y32" s="115">
        <f t="shared" si="10"/>
        <v>0</v>
      </c>
      <c r="Z32" s="57">
        <f t="shared" si="11"/>
        <v>0</v>
      </c>
      <c r="AA32" s="95"/>
      <c r="AB32" s="96"/>
      <c r="AC32" s="58">
        <f t="shared" si="22"/>
        <v>0</v>
      </c>
      <c r="AD32" s="66"/>
      <c r="AE32" s="100"/>
      <c r="AF32" s="58"/>
      <c r="AG32" s="58">
        <f t="shared" si="23"/>
        <v>0</v>
      </c>
      <c r="AH32" s="98"/>
    </row>
    <row r="33" spans="1:35" s="92" customFormat="1" ht="31.5" customHeight="1">
      <c r="A33" s="92" t="s">
        <v>125</v>
      </c>
      <c r="B33" s="93">
        <v>360</v>
      </c>
      <c r="C33" s="94">
        <v>144.1</v>
      </c>
      <c r="D33" s="142">
        <f t="shared" si="15"/>
        <v>51876</v>
      </c>
      <c r="E33" s="144"/>
      <c r="F33" s="57">
        <f t="shared" si="16"/>
        <v>0</v>
      </c>
      <c r="G33" s="142">
        <f t="shared" si="0"/>
        <v>3180</v>
      </c>
      <c r="H33" s="115">
        <f t="shared" si="1"/>
        <v>0</v>
      </c>
      <c r="I33" s="58">
        <f t="shared" si="17"/>
        <v>0</v>
      </c>
      <c r="J33" s="142">
        <f t="shared" si="2"/>
        <v>2581</v>
      </c>
      <c r="K33" s="142">
        <f t="shared" si="3"/>
        <v>137</v>
      </c>
      <c r="L33" s="142">
        <f t="shared" si="4"/>
        <v>2718</v>
      </c>
      <c r="M33" s="115">
        <f t="shared" si="5"/>
        <v>0</v>
      </c>
      <c r="N33" s="66">
        <f t="shared" si="6"/>
        <v>0</v>
      </c>
      <c r="O33" s="142">
        <f t="shared" si="7"/>
        <v>3937</v>
      </c>
      <c r="P33" s="115">
        <f t="shared" si="8"/>
        <v>0</v>
      </c>
      <c r="Q33" s="116">
        <f t="shared" si="9"/>
        <v>0</v>
      </c>
      <c r="R33" s="58">
        <f t="shared" si="18"/>
        <v>0</v>
      </c>
      <c r="S33" s="61">
        <v>0</v>
      </c>
      <c r="T33" s="61">
        <v>0</v>
      </c>
      <c r="U33" s="58">
        <f t="shared" si="19"/>
        <v>0</v>
      </c>
      <c r="V33" s="58">
        <f t="shared" si="20"/>
        <v>0</v>
      </c>
      <c r="W33" s="58">
        <f t="shared" si="13"/>
        <v>0</v>
      </c>
      <c r="X33" s="142">
        <f t="shared" si="21"/>
        <v>77814</v>
      </c>
      <c r="Y33" s="115">
        <f t="shared" si="10"/>
        <v>0</v>
      </c>
      <c r="Z33" s="57">
        <f t="shared" si="11"/>
        <v>0</v>
      </c>
      <c r="AA33" s="95"/>
      <c r="AB33" s="96"/>
      <c r="AC33" s="58">
        <f t="shared" si="22"/>
        <v>0</v>
      </c>
      <c r="AD33" s="66"/>
      <c r="AE33" s="100"/>
      <c r="AF33" s="58"/>
      <c r="AG33" s="58">
        <f t="shared" si="23"/>
        <v>0</v>
      </c>
      <c r="AH33" s="98"/>
      <c r="AI33" s="99"/>
    </row>
    <row r="34" spans="1:34" s="92" customFormat="1" ht="31.5" customHeight="1">
      <c r="A34" s="92" t="s">
        <v>125</v>
      </c>
      <c r="B34" s="93">
        <v>376</v>
      </c>
      <c r="C34" s="94">
        <v>144.1</v>
      </c>
      <c r="D34" s="142">
        <f t="shared" si="15"/>
        <v>54182</v>
      </c>
      <c r="E34" s="144"/>
      <c r="F34" s="57">
        <f t="shared" si="16"/>
        <v>0</v>
      </c>
      <c r="G34" s="142">
        <f t="shared" si="0"/>
        <v>3324</v>
      </c>
      <c r="H34" s="115">
        <f t="shared" si="1"/>
        <v>0</v>
      </c>
      <c r="I34" s="58">
        <f t="shared" si="17"/>
        <v>0</v>
      </c>
      <c r="J34" s="142">
        <f t="shared" si="2"/>
        <v>2698</v>
      </c>
      <c r="K34" s="142">
        <f t="shared" si="3"/>
        <v>143</v>
      </c>
      <c r="L34" s="142">
        <f t="shared" si="4"/>
        <v>2841</v>
      </c>
      <c r="M34" s="115">
        <f t="shared" si="5"/>
        <v>0</v>
      </c>
      <c r="N34" s="66">
        <f t="shared" si="6"/>
        <v>0</v>
      </c>
      <c r="O34" s="142">
        <f t="shared" si="7"/>
        <v>3937</v>
      </c>
      <c r="P34" s="115">
        <f t="shared" si="8"/>
        <v>0</v>
      </c>
      <c r="Q34" s="116">
        <f t="shared" si="9"/>
        <v>0</v>
      </c>
      <c r="R34" s="58">
        <f t="shared" si="18"/>
        <v>0</v>
      </c>
      <c r="S34" s="61">
        <v>0</v>
      </c>
      <c r="T34" s="61">
        <v>0</v>
      </c>
      <c r="U34" s="58">
        <f t="shared" si="19"/>
        <v>0</v>
      </c>
      <c r="V34" s="58">
        <f t="shared" si="20"/>
        <v>0</v>
      </c>
      <c r="W34" s="58">
        <f t="shared" si="13"/>
        <v>0</v>
      </c>
      <c r="X34" s="142">
        <f t="shared" si="21"/>
        <v>81273</v>
      </c>
      <c r="Y34" s="115">
        <f t="shared" si="10"/>
        <v>0</v>
      </c>
      <c r="Z34" s="57">
        <f t="shared" si="11"/>
        <v>0</v>
      </c>
      <c r="AA34" s="95"/>
      <c r="AB34" s="96"/>
      <c r="AC34" s="58">
        <f t="shared" si="22"/>
        <v>0</v>
      </c>
      <c r="AD34" s="66"/>
      <c r="AE34" s="100"/>
      <c r="AF34" s="58"/>
      <c r="AG34" s="58">
        <f t="shared" si="23"/>
        <v>0</v>
      </c>
      <c r="AH34" s="98"/>
    </row>
    <row r="35" spans="1:34" s="92" customFormat="1" ht="31.5" customHeight="1">
      <c r="A35" s="92" t="s">
        <v>125</v>
      </c>
      <c r="B35" s="93">
        <v>392</v>
      </c>
      <c r="C35" s="94">
        <v>144.1</v>
      </c>
      <c r="D35" s="142">
        <f t="shared" si="15"/>
        <v>56487</v>
      </c>
      <c r="E35" s="144"/>
      <c r="F35" s="57">
        <f t="shared" si="16"/>
        <v>0</v>
      </c>
      <c r="G35" s="142">
        <f t="shared" si="0"/>
        <v>3468</v>
      </c>
      <c r="H35" s="115">
        <f t="shared" si="1"/>
        <v>0</v>
      </c>
      <c r="I35" s="58">
        <f t="shared" si="17"/>
        <v>0</v>
      </c>
      <c r="J35" s="142">
        <f t="shared" si="2"/>
        <v>2815</v>
      </c>
      <c r="K35" s="142">
        <f t="shared" si="3"/>
        <v>149</v>
      </c>
      <c r="L35" s="142">
        <f t="shared" si="4"/>
        <v>2964</v>
      </c>
      <c r="M35" s="115">
        <f t="shared" si="5"/>
        <v>0</v>
      </c>
      <c r="N35" s="66">
        <f t="shared" si="6"/>
        <v>0</v>
      </c>
      <c r="O35" s="142">
        <f t="shared" si="7"/>
        <v>3937</v>
      </c>
      <c r="P35" s="115">
        <f t="shared" si="8"/>
        <v>0</v>
      </c>
      <c r="Q35" s="116">
        <f t="shared" si="9"/>
        <v>0</v>
      </c>
      <c r="R35" s="58">
        <f t="shared" si="18"/>
        <v>0</v>
      </c>
      <c r="S35" s="61">
        <v>0</v>
      </c>
      <c r="T35" s="61">
        <v>0</v>
      </c>
      <c r="U35" s="58">
        <f t="shared" si="19"/>
        <v>0</v>
      </c>
      <c r="V35" s="58">
        <f t="shared" si="20"/>
        <v>0</v>
      </c>
      <c r="W35" s="58">
        <f t="shared" si="13"/>
        <v>0</v>
      </c>
      <c r="X35" s="142">
        <f t="shared" si="21"/>
        <v>84731</v>
      </c>
      <c r="Y35" s="115">
        <f t="shared" si="10"/>
        <v>0</v>
      </c>
      <c r="Z35" s="57">
        <f t="shared" si="11"/>
        <v>0</v>
      </c>
      <c r="AA35" s="95"/>
      <c r="AB35" s="96"/>
      <c r="AC35" s="58">
        <f t="shared" si="22"/>
        <v>0</v>
      </c>
      <c r="AD35" s="66"/>
      <c r="AE35" s="100"/>
      <c r="AF35" s="58"/>
      <c r="AG35" s="58">
        <f t="shared" si="23"/>
        <v>0</v>
      </c>
      <c r="AH35" s="98"/>
    </row>
    <row r="36" spans="1:34" s="92" customFormat="1" ht="31.5" customHeight="1">
      <c r="A36" s="92" t="s">
        <v>125</v>
      </c>
      <c r="B36" s="93">
        <v>408</v>
      </c>
      <c r="C36" s="94">
        <v>144.1</v>
      </c>
      <c r="D36" s="142">
        <f t="shared" si="15"/>
        <v>58793</v>
      </c>
      <c r="E36" s="144"/>
      <c r="F36" s="57">
        <f t="shared" si="16"/>
        <v>0</v>
      </c>
      <c r="G36" s="142">
        <f t="shared" si="0"/>
        <v>3648</v>
      </c>
      <c r="H36" s="115">
        <f t="shared" si="1"/>
        <v>0</v>
      </c>
      <c r="I36" s="58">
        <f t="shared" si="17"/>
        <v>0</v>
      </c>
      <c r="J36" s="142">
        <f t="shared" si="2"/>
        <v>2961</v>
      </c>
      <c r="K36" s="142">
        <f t="shared" si="3"/>
        <v>156</v>
      </c>
      <c r="L36" s="142">
        <f t="shared" si="4"/>
        <v>3117</v>
      </c>
      <c r="M36" s="115">
        <f t="shared" si="5"/>
        <v>0</v>
      </c>
      <c r="N36" s="66">
        <f t="shared" si="6"/>
        <v>0</v>
      </c>
      <c r="O36" s="142">
        <f t="shared" si="7"/>
        <v>3937</v>
      </c>
      <c r="P36" s="115">
        <f t="shared" si="8"/>
        <v>0</v>
      </c>
      <c r="Q36" s="116">
        <f t="shared" si="9"/>
        <v>0</v>
      </c>
      <c r="R36" s="58">
        <f t="shared" si="18"/>
        <v>0</v>
      </c>
      <c r="S36" s="61">
        <v>0</v>
      </c>
      <c r="T36" s="61">
        <v>0</v>
      </c>
      <c r="U36" s="58">
        <f t="shared" si="19"/>
        <v>0</v>
      </c>
      <c r="V36" s="58">
        <f t="shared" si="20"/>
        <v>0</v>
      </c>
      <c r="W36" s="58">
        <f t="shared" si="13"/>
        <v>0</v>
      </c>
      <c r="X36" s="142">
        <f t="shared" si="21"/>
        <v>88190</v>
      </c>
      <c r="Y36" s="115">
        <f t="shared" si="10"/>
        <v>0</v>
      </c>
      <c r="Z36" s="57">
        <f t="shared" si="11"/>
        <v>0</v>
      </c>
      <c r="AA36" s="95"/>
      <c r="AB36" s="96"/>
      <c r="AC36" s="58">
        <f t="shared" si="22"/>
        <v>0</v>
      </c>
      <c r="AD36" s="100"/>
      <c r="AE36" s="100"/>
      <c r="AF36" s="58"/>
      <c r="AG36" s="58">
        <f t="shared" si="23"/>
        <v>0</v>
      </c>
      <c r="AH36" s="98"/>
    </row>
    <row r="37" spans="1:34" s="92" customFormat="1" ht="31.5" customHeight="1">
      <c r="A37" s="92" t="s">
        <v>125</v>
      </c>
      <c r="B37" s="101">
        <v>424</v>
      </c>
      <c r="C37" s="94">
        <v>144.1</v>
      </c>
      <c r="D37" s="142">
        <f t="shared" si="15"/>
        <v>61098</v>
      </c>
      <c r="E37" s="144"/>
      <c r="F37" s="57">
        <f t="shared" si="16"/>
        <v>0</v>
      </c>
      <c r="G37" s="142">
        <f t="shared" si="0"/>
        <v>3828</v>
      </c>
      <c r="H37" s="115">
        <f t="shared" si="1"/>
        <v>0</v>
      </c>
      <c r="I37" s="58">
        <f t="shared" si="17"/>
        <v>0</v>
      </c>
      <c r="J37" s="142">
        <f t="shared" si="2"/>
        <v>3107</v>
      </c>
      <c r="K37" s="142">
        <f t="shared" si="3"/>
        <v>162</v>
      </c>
      <c r="L37" s="142">
        <f t="shared" si="4"/>
        <v>3269</v>
      </c>
      <c r="M37" s="115">
        <f t="shared" si="5"/>
        <v>0</v>
      </c>
      <c r="N37" s="66">
        <f t="shared" si="6"/>
        <v>0</v>
      </c>
      <c r="O37" s="142">
        <f t="shared" si="7"/>
        <v>3937</v>
      </c>
      <c r="P37" s="115">
        <f t="shared" si="8"/>
        <v>0</v>
      </c>
      <c r="Q37" s="116">
        <f t="shared" si="9"/>
        <v>0</v>
      </c>
      <c r="R37" s="58">
        <f t="shared" si="18"/>
        <v>0</v>
      </c>
      <c r="S37" s="61">
        <v>0</v>
      </c>
      <c r="T37" s="61">
        <v>0</v>
      </c>
      <c r="U37" s="58">
        <f t="shared" si="19"/>
        <v>0</v>
      </c>
      <c r="V37" s="58">
        <f t="shared" si="20"/>
        <v>0</v>
      </c>
      <c r="W37" s="58">
        <f t="shared" si="13"/>
        <v>0</v>
      </c>
      <c r="X37" s="142">
        <f t="shared" si="21"/>
        <v>91647</v>
      </c>
      <c r="Y37" s="115">
        <f t="shared" si="10"/>
        <v>0</v>
      </c>
      <c r="Z37" s="57">
        <f t="shared" si="11"/>
        <v>0</v>
      </c>
      <c r="AA37" s="95"/>
      <c r="AB37" s="96"/>
      <c r="AC37" s="58">
        <f t="shared" si="22"/>
        <v>0</v>
      </c>
      <c r="AD37" s="100"/>
      <c r="AE37" s="100"/>
      <c r="AF37" s="58"/>
      <c r="AG37" s="58">
        <f t="shared" si="23"/>
        <v>0</v>
      </c>
      <c r="AH37" s="98"/>
    </row>
    <row r="38" spans="1:34" s="92" customFormat="1" ht="31.5" customHeight="1">
      <c r="A38" s="92" t="s">
        <v>125</v>
      </c>
      <c r="B38" s="101">
        <v>440</v>
      </c>
      <c r="C38" s="94">
        <v>144.1</v>
      </c>
      <c r="D38" s="142">
        <f t="shared" si="15"/>
        <v>63404</v>
      </c>
      <c r="E38" s="144"/>
      <c r="F38" s="57">
        <f t="shared" si="16"/>
        <v>0</v>
      </c>
      <c r="G38" s="142">
        <f t="shared" si="0"/>
        <v>3828</v>
      </c>
      <c r="H38" s="115">
        <f t="shared" si="1"/>
        <v>0</v>
      </c>
      <c r="I38" s="58">
        <f t="shared" si="17"/>
        <v>0</v>
      </c>
      <c r="J38" s="142">
        <f t="shared" si="2"/>
        <v>3107</v>
      </c>
      <c r="K38" s="142">
        <f t="shared" si="3"/>
        <v>168</v>
      </c>
      <c r="L38" s="142">
        <f t="shared" si="4"/>
        <v>3275</v>
      </c>
      <c r="M38" s="115">
        <f t="shared" si="5"/>
        <v>0</v>
      </c>
      <c r="N38" s="66">
        <f t="shared" si="6"/>
        <v>0</v>
      </c>
      <c r="O38" s="142">
        <f t="shared" si="7"/>
        <v>3937</v>
      </c>
      <c r="P38" s="115">
        <f t="shared" si="8"/>
        <v>0</v>
      </c>
      <c r="Q38" s="116">
        <f t="shared" si="9"/>
        <v>0</v>
      </c>
      <c r="R38" s="58">
        <f t="shared" si="18"/>
        <v>0</v>
      </c>
      <c r="S38" s="61">
        <v>0</v>
      </c>
      <c r="T38" s="61">
        <v>0</v>
      </c>
      <c r="U38" s="58">
        <f t="shared" si="19"/>
        <v>0</v>
      </c>
      <c r="V38" s="58">
        <f t="shared" si="20"/>
        <v>0</v>
      </c>
      <c r="W38" s="58">
        <f t="shared" si="13"/>
        <v>0</v>
      </c>
      <c r="X38" s="142">
        <f t="shared" si="21"/>
        <v>95106</v>
      </c>
      <c r="Y38" s="115">
        <f t="shared" si="10"/>
        <v>0</v>
      </c>
      <c r="Z38" s="57">
        <f t="shared" si="11"/>
        <v>0</v>
      </c>
      <c r="AA38" s="95"/>
      <c r="AB38" s="96"/>
      <c r="AC38" s="58">
        <f t="shared" si="22"/>
        <v>0</v>
      </c>
      <c r="AD38" s="100"/>
      <c r="AE38" s="100"/>
      <c r="AF38" s="58"/>
      <c r="AG38" s="58">
        <f t="shared" si="23"/>
        <v>0</v>
      </c>
      <c r="AH38" s="98"/>
    </row>
    <row r="39" spans="1:34" s="92" customFormat="1" ht="31.5" customHeight="1">
      <c r="A39" s="92" t="s">
        <v>125</v>
      </c>
      <c r="B39" s="102">
        <v>456</v>
      </c>
      <c r="C39" s="94">
        <v>144.1</v>
      </c>
      <c r="D39" s="142">
        <f t="shared" si="15"/>
        <v>65710</v>
      </c>
      <c r="E39" s="145"/>
      <c r="F39" s="57">
        <f t="shared" si="16"/>
        <v>0</v>
      </c>
      <c r="G39" s="142">
        <f t="shared" si="0"/>
        <v>4008</v>
      </c>
      <c r="H39" s="115">
        <f t="shared" si="1"/>
        <v>0</v>
      </c>
      <c r="I39" s="58">
        <f t="shared" si="17"/>
        <v>0</v>
      </c>
      <c r="J39" s="142">
        <f t="shared" si="2"/>
        <v>3253</v>
      </c>
      <c r="K39" s="142">
        <f t="shared" si="3"/>
        <v>174</v>
      </c>
      <c r="L39" s="142">
        <f t="shared" si="4"/>
        <v>3427</v>
      </c>
      <c r="M39" s="115">
        <f t="shared" si="5"/>
        <v>0</v>
      </c>
      <c r="N39" s="66">
        <f t="shared" si="6"/>
        <v>0</v>
      </c>
      <c r="O39" s="142">
        <f t="shared" si="7"/>
        <v>3937</v>
      </c>
      <c r="P39" s="115">
        <f t="shared" si="8"/>
        <v>0</v>
      </c>
      <c r="Q39" s="116">
        <f t="shared" si="9"/>
        <v>0</v>
      </c>
      <c r="R39" s="58">
        <f t="shared" si="18"/>
        <v>0</v>
      </c>
      <c r="S39" s="61">
        <v>0</v>
      </c>
      <c r="T39" s="61">
        <v>0</v>
      </c>
      <c r="U39" s="58">
        <f t="shared" si="19"/>
        <v>0</v>
      </c>
      <c r="V39" s="58">
        <f t="shared" si="20"/>
        <v>0</v>
      </c>
      <c r="W39" s="58">
        <f t="shared" si="13"/>
        <v>0</v>
      </c>
      <c r="X39" s="142">
        <f t="shared" si="21"/>
        <v>98565</v>
      </c>
      <c r="Y39" s="115">
        <f t="shared" si="10"/>
        <v>0</v>
      </c>
      <c r="Z39" s="57">
        <f t="shared" si="11"/>
        <v>0</v>
      </c>
      <c r="AA39" s="103"/>
      <c r="AB39" s="96"/>
      <c r="AC39" s="58">
        <f t="shared" si="22"/>
        <v>0</v>
      </c>
      <c r="AD39" s="100"/>
      <c r="AE39" s="100"/>
      <c r="AF39" s="58"/>
      <c r="AG39" s="58">
        <f t="shared" si="23"/>
        <v>0</v>
      </c>
      <c r="AH39" s="104"/>
    </row>
    <row r="40" spans="1:34" s="92" customFormat="1" ht="31.5" customHeight="1">
      <c r="A40" s="92" t="s">
        <v>125</v>
      </c>
      <c r="B40" s="102">
        <v>472</v>
      </c>
      <c r="C40" s="94">
        <v>144.1</v>
      </c>
      <c r="D40" s="142">
        <f t="shared" si="15"/>
        <v>68015</v>
      </c>
      <c r="E40" s="145"/>
      <c r="F40" s="57">
        <f t="shared" si="16"/>
        <v>0</v>
      </c>
      <c r="G40" s="142">
        <f t="shared" si="0"/>
        <v>4188</v>
      </c>
      <c r="H40" s="115">
        <f t="shared" si="1"/>
        <v>0</v>
      </c>
      <c r="I40" s="58">
        <f t="shared" si="17"/>
        <v>0</v>
      </c>
      <c r="J40" s="142">
        <f t="shared" si="2"/>
        <v>3399</v>
      </c>
      <c r="K40" s="142">
        <f t="shared" si="3"/>
        <v>180</v>
      </c>
      <c r="L40" s="142">
        <f t="shared" si="4"/>
        <v>3579</v>
      </c>
      <c r="M40" s="115">
        <f t="shared" si="5"/>
        <v>0</v>
      </c>
      <c r="N40" s="66">
        <f t="shared" si="6"/>
        <v>0</v>
      </c>
      <c r="O40" s="142">
        <f t="shared" si="7"/>
        <v>3937</v>
      </c>
      <c r="P40" s="115">
        <f t="shared" si="8"/>
        <v>0</v>
      </c>
      <c r="Q40" s="116">
        <f t="shared" si="9"/>
        <v>0</v>
      </c>
      <c r="R40" s="58">
        <f t="shared" si="18"/>
        <v>0</v>
      </c>
      <c r="S40" s="61">
        <v>0</v>
      </c>
      <c r="T40" s="61">
        <v>0</v>
      </c>
      <c r="U40" s="58">
        <f t="shared" si="19"/>
        <v>0</v>
      </c>
      <c r="V40" s="58">
        <f t="shared" si="20"/>
        <v>0</v>
      </c>
      <c r="W40" s="58">
        <f t="shared" si="13"/>
        <v>0</v>
      </c>
      <c r="X40" s="142">
        <f t="shared" si="21"/>
        <v>102023</v>
      </c>
      <c r="Y40" s="115">
        <f t="shared" si="10"/>
        <v>0</v>
      </c>
      <c r="Z40" s="57">
        <f t="shared" si="11"/>
        <v>0</v>
      </c>
      <c r="AA40" s="103"/>
      <c r="AB40" s="96"/>
      <c r="AC40" s="58">
        <f t="shared" si="22"/>
        <v>0</v>
      </c>
      <c r="AD40" s="100"/>
      <c r="AE40" s="100"/>
      <c r="AF40" s="58"/>
      <c r="AG40" s="58">
        <f t="shared" si="23"/>
        <v>0</v>
      </c>
      <c r="AH40" s="104"/>
    </row>
    <row r="41" spans="2:34" s="76" customFormat="1" ht="31.5" customHeight="1">
      <c r="B41" s="67" t="s">
        <v>76</v>
      </c>
      <c r="C41" s="68"/>
      <c r="D41" s="69"/>
      <c r="E41" s="70">
        <f>SUM(E6:E40)</f>
        <v>0</v>
      </c>
      <c r="F41" s="69">
        <f>SUM(F6:F40)</f>
        <v>0</v>
      </c>
      <c r="G41" s="69"/>
      <c r="H41" s="69">
        <f>SUM(H6:H40)</f>
        <v>0</v>
      </c>
      <c r="I41" s="69">
        <f>SUM(I6:I40)</f>
        <v>0</v>
      </c>
      <c r="J41" s="69"/>
      <c r="K41" s="69"/>
      <c r="L41" s="69"/>
      <c r="M41" s="69">
        <f>SUM(M6:M40)</f>
        <v>0</v>
      </c>
      <c r="N41" s="69">
        <f>SUM(N6:N40)</f>
        <v>0</v>
      </c>
      <c r="O41" s="69"/>
      <c r="P41" s="69">
        <f>SUM(P6:P40)</f>
        <v>0</v>
      </c>
      <c r="Q41" s="69">
        <f>SUM(Q6:Q40)</f>
        <v>0</v>
      </c>
      <c r="R41" s="69">
        <f>SUM(R6:R40)</f>
        <v>0</v>
      </c>
      <c r="S41" s="69"/>
      <c r="T41" s="69">
        <f>SUM(T6:T40)</f>
        <v>0</v>
      </c>
      <c r="U41" s="69">
        <f>SUM(U6:U40)</f>
        <v>0</v>
      </c>
      <c r="V41" s="69">
        <f>SUM(V6:V40)</f>
        <v>0</v>
      </c>
      <c r="W41" s="71" t="s">
        <v>77</v>
      </c>
      <c r="X41" s="72"/>
      <c r="Y41" s="71" t="s">
        <v>77</v>
      </c>
      <c r="Z41" s="71" t="s">
        <v>77</v>
      </c>
      <c r="AA41" s="69"/>
      <c r="AB41" s="71" t="s">
        <v>77</v>
      </c>
      <c r="AC41" s="71" t="s">
        <v>77</v>
      </c>
      <c r="AD41" s="73"/>
      <c r="AE41" s="71" t="s">
        <v>77</v>
      </c>
      <c r="AF41" s="71" t="s">
        <v>77</v>
      </c>
      <c r="AG41" s="74" t="s">
        <v>78</v>
      </c>
      <c r="AH41" s="75"/>
    </row>
    <row r="42" spans="2:35" s="76" customFormat="1" ht="31.5" customHeight="1">
      <c r="B42" s="77" t="s">
        <v>79</v>
      </c>
      <c r="C42" s="78"/>
      <c r="D42" s="79"/>
      <c r="E42" s="80">
        <f>E41</f>
        <v>0</v>
      </c>
      <c r="F42" s="79">
        <f>F41*12</f>
        <v>0</v>
      </c>
      <c r="G42" s="79"/>
      <c r="H42" s="79">
        <f>H41</f>
        <v>0</v>
      </c>
      <c r="I42" s="79">
        <f>I41*12</f>
        <v>0</v>
      </c>
      <c r="J42" s="79"/>
      <c r="K42" s="79"/>
      <c r="L42" s="79"/>
      <c r="M42" s="79">
        <f>M41</f>
        <v>0</v>
      </c>
      <c r="N42" s="79">
        <f>N41*12</f>
        <v>0</v>
      </c>
      <c r="O42" s="79"/>
      <c r="P42" s="79">
        <f>P41</f>
        <v>0</v>
      </c>
      <c r="Q42" s="79">
        <f>Q41*12</f>
        <v>0</v>
      </c>
      <c r="R42" s="79">
        <f>R41*12</f>
        <v>0</v>
      </c>
      <c r="S42" s="79"/>
      <c r="T42" s="79"/>
      <c r="U42" s="79"/>
      <c r="V42" s="71" t="s">
        <v>77</v>
      </c>
      <c r="W42" s="69">
        <f>SUM(W6:W40)</f>
        <v>0</v>
      </c>
      <c r="X42" s="72"/>
      <c r="Y42" s="69">
        <f>SUM(Y6:Y40)</f>
        <v>0</v>
      </c>
      <c r="Z42" s="69">
        <f>SUM(Z6:Z40)</f>
        <v>0</v>
      </c>
      <c r="AA42" s="69"/>
      <c r="AB42" s="69">
        <f>SUM(AB6:AB40)</f>
        <v>0</v>
      </c>
      <c r="AC42" s="69">
        <f>SUM(AC6:AC40)</f>
        <v>0</v>
      </c>
      <c r="AD42" s="69"/>
      <c r="AE42" s="69">
        <f>SUM(AE6:AE40)</f>
        <v>0</v>
      </c>
      <c r="AF42" s="69">
        <f>SUM(AF6:AF40)</f>
        <v>0</v>
      </c>
      <c r="AG42" s="81">
        <f>SUM(AG6:AG40)</f>
        <v>0</v>
      </c>
      <c r="AH42" s="82"/>
      <c r="AI42" s="83"/>
    </row>
    <row r="43" spans="2:34" ht="16.5">
      <c r="B43" s="84" t="s">
        <v>80</v>
      </c>
      <c r="D43" s="85"/>
      <c r="J43" s="84" t="s">
        <v>81</v>
      </c>
      <c r="S43" s="84" t="s">
        <v>82</v>
      </c>
      <c r="AB43" s="87"/>
      <c r="AH43" s="64"/>
    </row>
  </sheetData>
  <sheetProtection/>
  <mergeCells count="12">
    <mergeCell ref="AA4:AC4"/>
    <mergeCell ref="AD4:AF4"/>
    <mergeCell ref="B1:AH1"/>
    <mergeCell ref="D3:W3"/>
    <mergeCell ref="X3:AC3"/>
    <mergeCell ref="AD3:AF3"/>
    <mergeCell ref="AG3:AG5"/>
    <mergeCell ref="AH3:AH5"/>
    <mergeCell ref="D4:F4"/>
    <mergeCell ref="G4:I4"/>
    <mergeCell ref="J4:R4"/>
    <mergeCell ref="X4:Z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2" sqref="H22"/>
    </sheetView>
  </sheetViews>
  <sheetFormatPr defaultColWidth="9.00390625" defaultRowHeight="16.5"/>
  <cols>
    <col min="1" max="1" width="12.375" style="64" customWidth="1"/>
    <col min="2" max="2" width="7.125" style="64" bestFit="1" customWidth="1"/>
    <col min="3" max="3" width="10.00390625" style="64" bestFit="1" customWidth="1"/>
    <col min="4" max="4" width="5.875" style="86" bestFit="1" customWidth="1"/>
    <col min="5" max="5" width="11.875" style="64" customWidth="1"/>
    <col min="6" max="6" width="10.00390625" style="64" bestFit="1" customWidth="1"/>
    <col min="7" max="7" width="5.875" style="64" bestFit="1" customWidth="1"/>
    <col min="8" max="8" width="9.125" style="64" customWidth="1"/>
    <col min="9" max="9" width="10.00390625" style="64" bestFit="1" customWidth="1"/>
    <col min="10" max="10" width="6.75390625" style="64" bestFit="1" customWidth="1"/>
    <col min="11" max="11" width="10.00390625" style="64" bestFit="1" customWidth="1"/>
    <col min="12" max="12" width="5.875" style="86" bestFit="1" customWidth="1"/>
    <col min="13" max="14" width="10.00390625" style="86" bestFit="1" customWidth="1"/>
    <col min="15" max="15" width="5.875" style="64" bestFit="1" customWidth="1"/>
    <col min="16" max="16" width="10.00390625" style="64" bestFit="1" customWidth="1"/>
    <col min="17" max="17" width="12.25390625" style="64" bestFit="1" customWidth="1"/>
    <col min="18" max="18" width="10.875" style="64" bestFit="1" customWidth="1"/>
    <col min="19" max="19" width="14.25390625" style="64" customWidth="1"/>
    <col min="20" max="20" width="10.00390625" style="64" bestFit="1" customWidth="1"/>
    <col min="21" max="21" width="5.875" style="64" bestFit="1" customWidth="1"/>
    <col min="22" max="22" width="9.50390625" style="64" bestFit="1" customWidth="1"/>
    <col min="23" max="23" width="10.00390625" style="64" bestFit="1" customWidth="1"/>
    <col min="24" max="24" width="5.875" style="64" bestFit="1" customWidth="1"/>
    <col min="25" max="25" width="9.50390625" style="64" bestFit="1" customWidth="1"/>
    <col min="26" max="26" width="19.375" style="64" bestFit="1" customWidth="1"/>
    <col min="27" max="27" width="6.50390625" style="87" bestFit="1" customWidth="1"/>
    <col min="28" max="28" width="3.25390625" style="64" customWidth="1"/>
    <col min="29" max="30" width="2.625" style="64" customWidth="1"/>
    <col min="31" max="16384" width="9.00390625" style="64" customWidth="1"/>
  </cols>
  <sheetData>
    <row r="1" spans="1:27" s="29" customFormat="1" ht="24" customHeight="1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s="29" customFormat="1" ht="24" customHeight="1">
      <c r="A2" s="30" t="s">
        <v>127</v>
      </c>
      <c r="B2" s="31"/>
      <c r="C2" s="31"/>
      <c r="D2" s="31"/>
      <c r="E2" s="31"/>
      <c r="F2" s="32" t="s">
        <v>128</v>
      </c>
      <c r="G2" s="31"/>
      <c r="H2" s="31"/>
      <c r="I2" s="31" t="s">
        <v>129</v>
      </c>
      <c r="J2" s="31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29" customFormat="1" ht="24" customHeight="1">
      <c r="A3" s="34"/>
      <c r="B3" s="34"/>
      <c r="C3" s="153" t="s">
        <v>130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57"/>
      <c r="U3" s="157"/>
      <c r="V3" s="157"/>
      <c r="W3" s="157"/>
      <c r="X3" s="157"/>
      <c r="Y3" s="157"/>
      <c r="Z3" s="158" t="s">
        <v>131</v>
      </c>
      <c r="AA3" s="161" t="s">
        <v>132</v>
      </c>
    </row>
    <row r="4" spans="1:28" s="29" customFormat="1" ht="24" customHeight="1">
      <c r="A4" s="105"/>
      <c r="B4" s="105"/>
      <c r="C4" s="161" t="s">
        <v>133</v>
      </c>
      <c r="D4" s="164"/>
      <c r="E4" s="164"/>
      <c r="F4" s="165" t="s">
        <v>134</v>
      </c>
      <c r="G4" s="166"/>
      <c r="H4" s="166"/>
      <c r="I4" s="167" t="s">
        <v>135</v>
      </c>
      <c r="J4" s="166"/>
      <c r="K4" s="166"/>
      <c r="L4" s="166"/>
      <c r="M4" s="166"/>
      <c r="N4" s="166"/>
      <c r="O4" s="166"/>
      <c r="P4" s="168"/>
      <c r="Q4" s="168"/>
      <c r="R4" s="37" t="s">
        <v>76</v>
      </c>
      <c r="S4" s="38" t="s">
        <v>136</v>
      </c>
      <c r="T4" s="149" t="s">
        <v>53</v>
      </c>
      <c r="U4" s="169"/>
      <c r="V4" s="170"/>
      <c r="W4" s="149" t="s">
        <v>137</v>
      </c>
      <c r="X4" s="169"/>
      <c r="Y4" s="170"/>
      <c r="Z4" s="159"/>
      <c r="AA4" s="162"/>
      <c r="AB4" s="41"/>
    </row>
    <row r="5" spans="1:28" s="29" customFormat="1" ht="27" customHeight="1">
      <c r="A5" s="36"/>
      <c r="B5" s="36" t="s">
        <v>138</v>
      </c>
      <c r="C5" s="106" t="s">
        <v>139</v>
      </c>
      <c r="D5" s="43" t="s">
        <v>140</v>
      </c>
      <c r="E5" s="106" t="s">
        <v>141</v>
      </c>
      <c r="F5" s="107" t="s">
        <v>142</v>
      </c>
      <c r="G5" s="106" t="s">
        <v>140</v>
      </c>
      <c r="H5" s="106" t="s">
        <v>143</v>
      </c>
      <c r="I5" s="106" t="s">
        <v>144</v>
      </c>
      <c r="J5" s="108" t="s">
        <v>145</v>
      </c>
      <c r="K5" s="108" t="s">
        <v>146</v>
      </c>
      <c r="L5" s="43" t="s">
        <v>140</v>
      </c>
      <c r="M5" s="43" t="s">
        <v>147</v>
      </c>
      <c r="N5" s="106" t="s">
        <v>148</v>
      </c>
      <c r="O5" s="106" t="s">
        <v>140</v>
      </c>
      <c r="P5" s="109" t="s">
        <v>149</v>
      </c>
      <c r="Q5" s="110" t="s">
        <v>150</v>
      </c>
      <c r="R5" s="111" t="s">
        <v>151</v>
      </c>
      <c r="S5" s="111" t="s">
        <v>152</v>
      </c>
      <c r="T5" s="112" t="s">
        <v>153</v>
      </c>
      <c r="U5" s="112" t="s">
        <v>140</v>
      </c>
      <c r="V5" s="113" t="s">
        <v>154</v>
      </c>
      <c r="W5" s="112" t="s">
        <v>153</v>
      </c>
      <c r="X5" s="112" t="s">
        <v>140</v>
      </c>
      <c r="Y5" s="113" t="s">
        <v>155</v>
      </c>
      <c r="Z5" s="160"/>
      <c r="AA5" s="163"/>
      <c r="AB5" s="41"/>
    </row>
    <row r="6" spans="1:28" ht="31.5" customHeight="1">
      <c r="A6" s="114" t="s">
        <v>156</v>
      </c>
      <c r="B6" s="146">
        <f>176*8</f>
        <v>1408</v>
      </c>
      <c r="C6" s="142">
        <f>B6*22</f>
        <v>30976</v>
      </c>
      <c r="D6" s="143"/>
      <c r="E6" s="57">
        <f aca="true" t="shared" si="0" ref="E6:E12">C6*D6</f>
        <v>0</v>
      </c>
      <c r="F6" s="142">
        <f>VLOOKUP($B6,日資,11,0)</f>
        <v>2178</v>
      </c>
      <c r="G6" s="57">
        <f aca="true" t="shared" si="1" ref="G6:G12">$D6</f>
        <v>0</v>
      </c>
      <c r="H6" s="58">
        <f aca="true" t="shared" si="2" ref="H6:H12">F6*G6</f>
        <v>0</v>
      </c>
      <c r="I6" s="142">
        <f>VLOOKUP($B6,日資,7,0)</f>
        <v>1768</v>
      </c>
      <c r="J6" s="142">
        <f>VLOOKUP($B6,日資,8,0)</f>
        <v>93</v>
      </c>
      <c r="K6" s="142">
        <f aca="true" t="shared" si="3" ref="K6:K12">I6+J6</f>
        <v>1861</v>
      </c>
      <c r="L6" s="57">
        <f aca="true" t="shared" si="4" ref="L6:L12">$D6</f>
        <v>0</v>
      </c>
      <c r="M6" s="66">
        <f aca="true" t="shared" si="5" ref="M6:M12">K6*L6</f>
        <v>0</v>
      </c>
      <c r="N6" s="142">
        <f>VLOOKUP($B6,日資,5,0)</f>
        <v>3120</v>
      </c>
      <c r="O6" s="57">
        <f aca="true" t="shared" si="6" ref="O6:O12">$D6</f>
        <v>0</v>
      </c>
      <c r="P6" s="58">
        <f aca="true" t="shared" si="7" ref="P6:P12">N6*O6:O6</f>
        <v>0</v>
      </c>
      <c r="Q6" s="58">
        <f aca="true" t="shared" si="8" ref="Q6:Q12">M6+P6</f>
        <v>0</v>
      </c>
      <c r="R6" s="58">
        <f aca="true" t="shared" si="9" ref="R6:R12">E6+H6+Q6</f>
        <v>0</v>
      </c>
      <c r="S6" s="58">
        <f>R6*12</f>
        <v>0</v>
      </c>
      <c r="T6" s="142">
        <f>ROUND(C6*1.5,0)</f>
        <v>46464</v>
      </c>
      <c r="U6" s="57">
        <f aca="true" t="shared" si="10" ref="U6:U12">$D6</f>
        <v>0</v>
      </c>
      <c r="V6" s="57">
        <f aca="true" t="shared" si="11" ref="V6:V12">T6*U6</f>
        <v>0</v>
      </c>
      <c r="W6" s="142">
        <f>B6*10</f>
        <v>14080</v>
      </c>
      <c r="X6" s="57">
        <f aca="true" t="shared" si="12" ref="X6:X12">$D6</f>
        <v>0</v>
      </c>
      <c r="Y6" s="57">
        <f aca="true" t="shared" si="13" ref="Y6:Y12">W6*X6</f>
        <v>0</v>
      </c>
      <c r="Z6" s="58">
        <f aca="true" t="shared" si="14" ref="Z6:Z12">S6+V6+Y6</f>
        <v>0</v>
      </c>
      <c r="AA6" s="62"/>
      <c r="AB6" s="63"/>
    </row>
    <row r="7" spans="1:28" ht="31.5" customHeight="1">
      <c r="A7" s="114" t="s">
        <v>157</v>
      </c>
      <c r="B7" s="147"/>
      <c r="C7" s="148">
        <v>26400</v>
      </c>
      <c r="D7" s="144"/>
      <c r="E7" s="115">
        <f t="shared" si="0"/>
        <v>0</v>
      </c>
      <c r="F7" s="148">
        <f aca="true" t="shared" si="15" ref="F7:F12">VLOOKUP($C7,月酬,10,0)</f>
        <v>1584</v>
      </c>
      <c r="G7" s="115">
        <f t="shared" si="1"/>
        <v>0</v>
      </c>
      <c r="H7" s="116">
        <f t="shared" si="2"/>
        <v>0</v>
      </c>
      <c r="I7" s="148">
        <f aca="true" t="shared" si="16" ref="I7:I12">VLOOKUP($C7,月酬,6,0)</f>
        <v>1286</v>
      </c>
      <c r="J7" s="148">
        <f aca="true" t="shared" si="17" ref="J7:J12">VLOOKUP($C7,月酬,7,0)</f>
        <v>70</v>
      </c>
      <c r="K7" s="148">
        <f t="shared" si="3"/>
        <v>1356</v>
      </c>
      <c r="L7" s="57">
        <f t="shared" si="4"/>
        <v>0</v>
      </c>
      <c r="M7" s="100">
        <f t="shared" si="5"/>
        <v>0</v>
      </c>
      <c r="N7" s="148">
        <f aca="true" t="shared" si="18" ref="N7:N12">VLOOKUP($C7,月酬,4,0)</f>
        <v>2270</v>
      </c>
      <c r="O7" s="115">
        <f t="shared" si="6"/>
        <v>0</v>
      </c>
      <c r="P7" s="116">
        <f t="shared" si="7"/>
        <v>0</v>
      </c>
      <c r="Q7" s="116">
        <f t="shared" si="8"/>
        <v>0</v>
      </c>
      <c r="R7" s="116">
        <f t="shared" si="9"/>
        <v>0</v>
      </c>
      <c r="S7" s="116">
        <f aca="true" t="shared" si="19" ref="S7:S12">R7*12</f>
        <v>0</v>
      </c>
      <c r="T7" s="148">
        <f aca="true" t="shared" si="20" ref="T7:T12">ROUND(C7*1.5,0)</f>
        <v>39600</v>
      </c>
      <c r="U7" s="57">
        <f t="shared" si="10"/>
        <v>0</v>
      </c>
      <c r="V7" s="115">
        <f t="shared" si="11"/>
        <v>0</v>
      </c>
      <c r="W7" s="148">
        <f aca="true" t="shared" si="21" ref="W7:W12">$B$6*10</f>
        <v>14080</v>
      </c>
      <c r="X7" s="115">
        <f t="shared" si="12"/>
        <v>0</v>
      </c>
      <c r="Y7" s="115">
        <f t="shared" si="13"/>
        <v>0</v>
      </c>
      <c r="Z7" s="116">
        <f t="shared" si="14"/>
        <v>0</v>
      </c>
      <c r="AA7" s="62"/>
      <c r="AB7" s="63"/>
    </row>
    <row r="8" spans="1:28" ht="31.5" customHeight="1">
      <c r="A8" s="55"/>
      <c r="B8" s="147"/>
      <c r="C8" s="148">
        <v>26400</v>
      </c>
      <c r="D8" s="144"/>
      <c r="E8" s="115">
        <f t="shared" si="0"/>
        <v>0</v>
      </c>
      <c r="F8" s="148">
        <f t="shared" si="15"/>
        <v>1584</v>
      </c>
      <c r="G8" s="115">
        <f t="shared" si="1"/>
        <v>0</v>
      </c>
      <c r="H8" s="116">
        <f t="shared" si="2"/>
        <v>0</v>
      </c>
      <c r="I8" s="148">
        <f t="shared" si="16"/>
        <v>1286</v>
      </c>
      <c r="J8" s="148">
        <f t="shared" si="17"/>
        <v>70</v>
      </c>
      <c r="K8" s="148">
        <f t="shared" si="3"/>
        <v>1356</v>
      </c>
      <c r="L8" s="115">
        <f t="shared" si="4"/>
        <v>0</v>
      </c>
      <c r="M8" s="100">
        <f t="shared" si="5"/>
        <v>0</v>
      </c>
      <c r="N8" s="148">
        <f t="shared" si="18"/>
        <v>2270</v>
      </c>
      <c r="O8" s="115">
        <f t="shared" si="6"/>
        <v>0</v>
      </c>
      <c r="P8" s="116">
        <f t="shared" si="7"/>
        <v>0</v>
      </c>
      <c r="Q8" s="116">
        <f t="shared" si="8"/>
        <v>0</v>
      </c>
      <c r="R8" s="116">
        <f t="shared" si="9"/>
        <v>0</v>
      </c>
      <c r="S8" s="116">
        <f t="shared" si="19"/>
        <v>0</v>
      </c>
      <c r="T8" s="148">
        <f t="shared" si="20"/>
        <v>39600</v>
      </c>
      <c r="U8" s="57">
        <f t="shared" si="10"/>
        <v>0</v>
      </c>
      <c r="V8" s="115">
        <f t="shared" si="11"/>
        <v>0</v>
      </c>
      <c r="W8" s="148">
        <f t="shared" si="21"/>
        <v>14080</v>
      </c>
      <c r="X8" s="115">
        <f t="shared" si="12"/>
        <v>0</v>
      </c>
      <c r="Y8" s="115">
        <f t="shared" si="13"/>
        <v>0</v>
      </c>
      <c r="Z8" s="116">
        <f t="shared" si="14"/>
        <v>0</v>
      </c>
      <c r="AA8" s="62"/>
      <c r="AB8" s="63"/>
    </row>
    <row r="9" spans="1:27" ht="31.5" customHeight="1">
      <c r="A9" s="55"/>
      <c r="B9" s="147"/>
      <c r="C9" s="148">
        <v>26400</v>
      </c>
      <c r="D9" s="144"/>
      <c r="E9" s="115">
        <f t="shared" si="0"/>
        <v>0</v>
      </c>
      <c r="F9" s="148">
        <f t="shared" si="15"/>
        <v>1584</v>
      </c>
      <c r="G9" s="115">
        <f t="shared" si="1"/>
        <v>0</v>
      </c>
      <c r="H9" s="116">
        <f t="shared" si="2"/>
        <v>0</v>
      </c>
      <c r="I9" s="148">
        <f t="shared" si="16"/>
        <v>1286</v>
      </c>
      <c r="J9" s="148">
        <f t="shared" si="17"/>
        <v>70</v>
      </c>
      <c r="K9" s="148">
        <f t="shared" si="3"/>
        <v>1356</v>
      </c>
      <c r="L9" s="115">
        <f t="shared" si="4"/>
        <v>0</v>
      </c>
      <c r="M9" s="100">
        <f t="shared" si="5"/>
        <v>0</v>
      </c>
      <c r="N9" s="148">
        <f t="shared" si="18"/>
        <v>2270</v>
      </c>
      <c r="O9" s="115">
        <f t="shared" si="6"/>
        <v>0</v>
      </c>
      <c r="P9" s="116">
        <f t="shared" si="7"/>
        <v>0</v>
      </c>
      <c r="Q9" s="116">
        <f t="shared" si="8"/>
        <v>0</v>
      </c>
      <c r="R9" s="116">
        <f t="shared" si="9"/>
        <v>0</v>
      </c>
      <c r="S9" s="116">
        <f t="shared" si="19"/>
        <v>0</v>
      </c>
      <c r="T9" s="148">
        <f t="shared" si="20"/>
        <v>39600</v>
      </c>
      <c r="U9" s="115">
        <f t="shared" si="10"/>
        <v>0</v>
      </c>
      <c r="V9" s="115">
        <f t="shared" si="11"/>
        <v>0</v>
      </c>
      <c r="W9" s="148">
        <f t="shared" si="21"/>
        <v>14080</v>
      </c>
      <c r="X9" s="115">
        <f t="shared" si="12"/>
        <v>0</v>
      </c>
      <c r="Y9" s="115">
        <f t="shared" si="13"/>
        <v>0</v>
      </c>
      <c r="Z9" s="116">
        <f t="shared" si="14"/>
        <v>0</v>
      </c>
      <c r="AA9" s="62"/>
    </row>
    <row r="10" spans="1:27" ht="31.5" customHeight="1">
      <c r="A10" s="55"/>
      <c r="B10" s="147"/>
      <c r="C10" s="148">
        <v>26400</v>
      </c>
      <c r="D10" s="144"/>
      <c r="E10" s="115">
        <f t="shared" si="0"/>
        <v>0</v>
      </c>
      <c r="F10" s="148">
        <f t="shared" si="15"/>
        <v>1584</v>
      </c>
      <c r="G10" s="115">
        <f t="shared" si="1"/>
        <v>0</v>
      </c>
      <c r="H10" s="116">
        <f t="shared" si="2"/>
        <v>0</v>
      </c>
      <c r="I10" s="148">
        <f t="shared" si="16"/>
        <v>1286</v>
      </c>
      <c r="J10" s="148">
        <f t="shared" si="17"/>
        <v>70</v>
      </c>
      <c r="K10" s="148">
        <f t="shared" si="3"/>
        <v>1356</v>
      </c>
      <c r="L10" s="115">
        <f t="shared" si="4"/>
        <v>0</v>
      </c>
      <c r="M10" s="100">
        <f t="shared" si="5"/>
        <v>0</v>
      </c>
      <c r="N10" s="148">
        <f t="shared" si="18"/>
        <v>2270</v>
      </c>
      <c r="O10" s="115">
        <f t="shared" si="6"/>
        <v>0</v>
      </c>
      <c r="P10" s="116">
        <f t="shared" si="7"/>
        <v>0</v>
      </c>
      <c r="Q10" s="116">
        <f t="shared" si="8"/>
        <v>0</v>
      </c>
      <c r="R10" s="116">
        <f t="shared" si="9"/>
        <v>0</v>
      </c>
      <c r="S10" s="116">
        <f t="shared" si="19"/>
        <v>0</v>
      </c>
      <c r="T10" s="148">
        <f t="shared" si="20"/>
        <v>39600</v>
      </c>
      <c r="U10" s="115">
        <f t="shared" si="10"/>
        <v>0</v>
      </c>
      <c r="V10" s="115">
        <f t="shared" si="11"/>
        <v>0</v>
      </c>
      <c r="W10" s="148">
        <f t="shared" si="21"/>
        <v>14080</v>
      </c>
      <c r="X10" s="115">
        <f t="shared" si="12"/>
        <v>0</v>
      </c>
      <c r="Y10" s="115">
        <f t="shared" si="13"/>
        <v>0</v>
      </c>
      <c r="Z10" s="116">
        <f t="shared" si="14"/>
        <v>0</v>
      </c>
      <c r="AA10" s="62"/>
    </row>
    <row r="11" spans="1:27" ht="31.5" customHeight="1">
      <c r="A11" s="55"/>
      <c r="B11" s="147"/>
      <c r="C11" s="148">
        <v>26400</v>
      </c>
      <c r="D11" s="144"/>
      <c r="E11" s="115">
        <f t="shared" si="0"/>
        <v>0</v>
      </c>
      <c r="F11" s="148">
        <f t="shared" si="15"/>
        <v>1584</v>
      </c>
      <c r="G11" s="115">
        <f t="shared" si="1"/>
        <v>0</v>
      </c>
      <c r="H11" s="116">
        <f t="shared" si="2"/>
        <v>0</v>
      </c>
      <c r="I11" s="148">
        <f t="shared" si="16"/>
        <v>1286</v>
      </c>
      <c r="J11" s="148">
        <f t="shared" si="17"/>
        <v>70</v>
      </c>
      <c r="K11" s="148">
        <f t="shared" si="3"/>
        <v>1356</v>
      </c>
      <c r="L11" s="115">
        <f t="shared" si="4"/>
        <v>0</v>
      </c>
      <c r="M11" s="100">
        <f t="shared" si="5"/>
        <v>0</v>
      </c>
      <c r="N11" s="148">
        <f t="shared" si="18"/>
        <v>2270</v>
      </c>
      <c r="O11" s="115">
        <f t="shared" si="6"/>
        <v>0</v>
      </c>
      <c r="P11" s="116">
        <f t="shared" si="7"/>
        <v>0</v>
      </c>
      <c r="Q11" s="116">
        <f t="shared" si="8"/>
        <v>0</v>
      </c>
      <c r="R11" s="116">
        <f t="shared" si="9"/>
        <v>0</v>
      </c>
      <c r="S11" s="116">
        <f t="shared" si="19"/>
        <v>0</v>
      </c>
      <c r="T11" s="148">
        <f t="shared" si="20"/>
        <v>39600</v>
      </c>
      <c r="U11" s="115">
        <f t="shared" si="10"/>
        <v>0</v>
      </c>
      <c r="V11" s="115">
        <f t="shared" si="11"/>
        <v>0</v>
      </c>
      <c r="W11" s="148">
        <f t="shared" si="21"/>
        <v>14080</v>
      </c>
      <c r="X11" s="115">
        <f t="shared" si="12"/>
        <v>0</v>
      </c>
      <c r="Y11" s="115">
        <f t="shared" si="13"/>
        <v>0</v>
      </c>
      <c r="Z11" s="116">
        <f t="shared" si="14"/>
        <v>0</v>
      </c>
      <c r="AA11" s="62"/>
    </row>
    <row r="12" spans="1:27" ht="31.5" customHeight="1">
      <c r="A12" s="55"/>
      <c r="B12" s="147"/>
      <c r="C12" s="148">
        <v>26400</v>
      </c>
      <c r="D12" s="144"/>
      <c r="E12" s="115">
        <f t="shared" si="0"/>
        <v>0</v>
      </c>
      <c r="F12" s="148">
        <f t="shared" si="15"/>
        <v>1584</v>
      </c>
      <c r="G12" s="115">
        <f t="shared" si="1"/>
        <v>0</v>
      </c>
      <c r="H12" s="116">
        <f t="shared" si="2"/>
        <v>0</v>
      </c>
      <c r="I12" s="148">
        <f t="shared" si="16"/>
        <v>1286</v>
      </c>
      <c r="J12" s="148">
        <f t="shared" si="17"/>
        <v>70</v>
      </c>
      <c r="K12" s="148">
        <f t="shared" si="3"/>
        <v>1356</v>
      </c>
      <c r="L12" s="115">
        <f t="shared" si="4"/>
        <v>0</v>
      </c>
      <c r="M12" s="100">
        <f t="shared" si="5"/>
        <v>0</v>
      </c>
      <c r="N12" s="148">
        <f t="shared" si="18"/>
        <v>2270</v>
      </c>
      <c r="O12" s="115">
        <f t="shared" si="6"/>
        <v>0</v>
      </c>
      <c r="P12" s="116">
        <f t="shared" si="7"/>
        <v>0</v>
      </c>
      <c r="Q12" s="116">
        <f t="shared" si="8"/>
        <v>0</v>
      </c>
      <c r="R12" s="116">
        <f t="shared" si="9"/>
        <v>0</v>
      </c>
      <c r="S12" s="116">
        <f t="shared" si="19"/>
        <v>0</v>
      </c>
      <c r="T12" s="148">
        <f t="shared" si="20"/>
        <v>39600</v>
      </c>
      <c r="U12" s="115">
        <f t="shared" si="10"/>
        <v>0</v>
      </c>
      <c r="V12" s="115">
        <f t="shared" si="11"/>
        <v>0</v>
      </c>
      <c r="W12" s="148">
        <f t="shared" si="21"/>
        <v>14080</v>
      </c>
      <c r="X12" s="115">
        <f t="shared" si="12"/>
        <v>0</v>
      </c>
      <c r="Y12" s="115">
        <f t="shared" si="13"/>
        <v>0</v>
      </c>
      <c r="Z12" s="116">
        <f t="shared" si="14"/>
        <v>0</v>
      </c>
      <c r="AA12" s="62"/>
    </row>
    <row r="13" spans="1:27" s="76" customFormat="1" ht="31.5" customHeight="1">
      <c r="A13" s="67" t="s">
        <v>76</v>
      </c>
      <c r="B13" s="68"/>
      <c r="C13" s="69"/>
      <c r="D13" s="70">
        <f>SUM(D6:D12)</f>
        <v>0</v>
      </c>
      <c r="E13" s="69">
        <f>SUM(E6:E12)</f>
        <v>0</v>
      </c>
      <c r="F13" s="69"/>
      <c r="G13" s="69">
        <f>SUM(G6:G12)</f>
        <v>0</v>
      </c>
      <c r="H13" s="69">
        <f>SUM(H6:H12)</f>
        <v>0</v>
      </c>
      <c r="I13" s="69"/>
      <c r="J13" s="69"/>
      <c r="K13" s="69"/>
      <c r="L13" s="69">
        <f>SUM(L6:L12)</f>
        <v>0</v>
      </c>
      <c r="M13" s="69">
        <f>SUM(M6:M12)</f>
        <v>0</v>
      </c>
      <c r="N13" s="69"/>
      <c r="O13" s="69">
        <f>SUM(O6:O12)</f>
        <v>0</v>
      </c>
      <c r="P13" s="69">
        <f>SUM(P6:P12)</f>
        <v>0</v>
      </c>
      <c r="Q13" s="69">
        <f>SUM(Q6:Q12)</f>
        <v>0</v>
      </c>
      <c r="R13" s="69">
        <f>SUM(R6:R12)</f>
        <v>0</v>
      </c>
      <c r="S13" s="71" t="s">
        <v>77</v>
      </c>
      <c r="T13" s="72"/>
      <c r="U13" s="71" t="s">
        <v>77</v>
      </c>
      <c r="V13" s="71" t="s">
        <v>77</v>
      </c>
      <c r="W13" s="72"/>
      <c r="X13" s="71" t="s">
        <v>77</v>
      </c>
      <c r="Y13" s="71" t="s">
        <v>77</v>
      </c>
      <c r="Z13" s="74" t="s">
        <v>78</v>
      </c>
      <c r="AA13" s="75"/>
    </row>
    <row r="14" spans="1:28" s="76" customFormat="1" ht="31.5" customHeight="1">
      <c r="A14" s="77" t="s">
        <v>79</v>
      </c>
      <c r="B14" s="78"/>
      <c r="C14" s="79"/>
      <c r="D14" s="80">
        <f>D13</f>
        <v>0</v>
      </c>
      <c r="E14" s="79">
        <f>E13*12</f>
        <v>0</v>
      </c>
      <c r="F14" s="79"/>
      <c r="G14" s="79">
        <f>G13</f>
        <v>0</v>
      </c>
      <c r="H14" s="79">
        <f>H13*12</f>
        <v>0</v>
      </c>
      <c r="I14" s="79"/>
      <c r="J14" s="79"/>
      <c r="K14" s="79"/>
      <c r="L14" s="79">
        <f>L13</f>
        <v>0</v>
      </c>
      <c r="M14" s="79">
        <f>M13*12</f>
        <v>0</v>
      </c>
      <c r="N14" s="79"/>
      <c r="O14" s="79">
        <f>O13</f>
        <v>0</v>
      </c>
      <c r="P14" s="79">
        <f>P13*12</f>
        <v>0</v>
      </c>
      <c r="Q14" s="79">
        <f>Q13*12</f>
        <v>0</v>
      </c>
      <c r="R14" s="71" t="s">
        <v>77</v>
      </c>
      <c r="S14" s="69">
        <f>SUM(S6:S12)</f>
        <v>0</v>
      </c>
      <c r="T14" s="72"/>
      <c r="U14" s="69">
        <f>SUM(U6:U12)</f>
        <v>0</v>
      </c>
      <c r="V14" s="69">
        <f>SUM(V6:V12)</f>
        <v>0</v>
      </c>
      <c r="W14" s="72"/>
      <c r="X14" s="69">
        <f>SUM(X6:X12)</f>
        <v>0</v>
      </c>
      <c r="Y14" s="69">
        <f>SUM(Y6:Y12)</f>
        <v>0</v>
      </c>
      <c r="Z14" s="81">
        <f>SUM(Z6:Z12)</f>
        <v>0</v>
      </c>
      <c r="AA14" s="82"/>
      <c r="AB14" s="83"/>
    </row>
    <row r="15" spans="1:31" ht="16.5">
      <c r="A15" s="84" t="s">
        <v>80</v>
      </c>
      <c r="C15" s="85"/>
      <c r="I15" s="84" t="s">
        <v>81</v>
      </c>
      <c r="R15" s="84" t="s">
        <v>82</v>
      </c>
      <c r="AA15" s="64"/>
      <c r="AE15" s="87"/>
    </row>
    <row r="16" ht="14.25"/>
    <row r="17" ht="14.25"/>
    <row r="18" ht="14.25"/>
    <row r="19" ht="14.25"/>
    <row r="20" spans="1:26" ht="16.5">
      <c r="A20" s="135"/>
      <c r="Z20" s="85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</sheetData>
  <sheetProtection/>
  <mergeCells count="11">
    <mergeCell ref="T4:V4"/>
    <mergeCell ref="W4:Y4"/>
    <mergeCell ref="A1:AA1"/>
    <mergeCell ref="C3:S3"/>
    <mergeCell ref="T3:V3"/>
    <mergeCell ref="W3:Y3"/>
    <mergeCell ref="Z3:Z5"/>
    <mergeCell ref="AA3:AA5"/>
    <mergeCell ref="C4:E4"/>
    <mergeCell ref="F4:H4"/>
    <mergeCell ref="I4:Q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SheetLayoutView="80" workbookViewId="0" topLeftCell="A1">
      <selection activeCell="O15" sqref="O15:O16"/>
    </sheetView>
  </sheetViews>
  <sheetFormatPr defaultColWidth="9.00390625" defaultRowHeight="16.5"/>
  <cols>
    <col min="1" max="1" width="8.25390625" style="0" customWidth="1"/>
    <col min="2" max="2" width="11.625" style="0" bestFit="1" customWidth="1"/>
    <col min="3" max="3" width="6.00390625" style="0" hidden="1" customWidth="1"/>
    <col min="4" max="4" width="11.625" style="0" customWidth="1"/>
    <col min="5" max="5" width="11.00390625" style="0" customWidth="1"/>
    <col min="6" max="6" width="11.625" style="0" customWidth="1"/>
    <col min="7" max="7" width="9.625" style="0" customWidth="1"/>
    <col min="8" max="8" width="7.875" style="0" customWidth="1"/>
    <col min="9" max="9" width="9.625" style="0" customWidth="1"/>
    <col min="10" max="10" width="9.125" style="0" customWidth="1"/>
    <col min="11" max="11" width="9.50390625" style="0" customWidth="1"/>
    <col min="12" max="12" width="11.00390625" style="0" customWidth="1"/>
  </cols>
  <sheetData>
    <row r="1" spans="1:11" ht="30.75" customHeight="1">
      <c r="A1" s="6" t="s">
        <v>165</v>
      </c>
      <c r="B1" s="7"/>
      <c r="C1" s="6"/>
      <c r="D1" s="7"/>
      <c r="E1" s="7"/>
      <c r="F1" s="7"/>
      <c r="G1" s="7"/>
      <c r="H1" s="7"/>
      <c r="I1" s="7"/>
      <c r="J1" s="7"/>
      <c r="K1" s="7"/>
    </row>
    <row r="2" spans="1:11" ht="28.5" customHeight="1">
      <c r="A2" s="11" t="s">
        <v>16</v>
      </c>
      <c r="C2" s="11"/>
      <c r="K2" s="5" t="s">
        <v>1</v>
      </c>
    </row>
    <row r="3" spans="1:13" ht="52.5" customHeight="1">
      <c r="A3" s="8" t="s">
        <v>0</v>
      </c>
      <c r="B3" s="8" t="s">
        <v>166</v>
      </c>
      <c r="C3" s="8" t="s">
        <v>11</v>
      </c>
      <c r="D3" s="8" t="s">
        <v>8</v>
      </c>
      <c r="E3" s="8" t="s">
        <v>2</v>
      </c>
      <c r="F3" s="8" t="s">
        <v>9</v>
      </c>
      <c r="G3" s="8" t="s">
        <v>3</v>
      </c>
      <c r="H3" s="8" t="s">
        <v>13</v>
      </c>
      <c r="I3" s="8" t="s">
        <v>5</v>
      </c>
      <c r="J3" s="8" t="s">
        <v>4</v>
      </c>
      <c r="K3" s="8" t="s">
        <v>14</v>
      </c>
      <c r="L3" s="2"/>
      <c r="M3" s="122"/>
    </row>
    <row r="4" spans="1:14" ht="19.5" customHeight="1">
      <c r="A4" s="3">
        <v>190</v>
      </c>
      <c r="B4" s="123">
        <f>ROUND($A4*'調薪俸點'!$D$2,0)</f>
        <v>25631</v>
      </c>
      <c r="C4" s="3">
        <v>1</v>
      </c>
      <c r="D4" s="124">
        <f>IF(C4&gt;上限級數,上限級距,VLOOKUP($C4,級數表,2,0))</f>
        <v>26400</v>
      </c>
      <c r="E4" s="124">
        <f aca="true" t="shared" si="0" ref="E4:E27">VLOOKUP($C4,級數表,4,0)+ROUND($D4*職災費率,0)+ROUND($D4*工墊費率,0)</f>
        <v>2270</v>
      </c>
      <c r="F4" s="124">
        <f aca="true" t="shared" si="1" ref="F4:F27">VLOOKUP($C4,級數表,2,0)</f>
        <v>26400</v>
      </c>
      <c r="G4" s="124">
        <f aca="true" t="shared" si="2" ref="G4:G27">VLOOKUP($C4,級數表,6,0)</f>
        <v>1286</v>
      </c>
      <c r="H4" s="4">
        <f aca="true" t="shared" si="3" ref="H4:H27">ROUNDUP((B4*1.5*二代健保費率)/12,0)</f>
        <v>68</v>
      </c>
      <c r="I4" s="4">
        <f>G4+H4</f>
        <v>1354</v>
      </c>
      <c r="J4" s="4">
        <f>I4+E4</f>
        <v>3624</v>
      </c>
      <c r="K4" s="124">
        <f>ROUND(F4*6%,0)</f>
        <v>1584</v>
      </c>
      <c r="L4" s="1"/>
      <c r="M4" s="1"/>
      <c r="N4" s="1"/>
    </row>
    <row r="5" spans="1:14" ht="19.5" customHeight="1">
      <c r="A5" s="3">
        <v>200</v>
      </c>
      <c r="B5" s="123">
        <f>ROUND($A5*'調薪俸點'!$D$2,0)</f>
        <v>26980</v>
      </c>
      <c r="C5" s="3">
        <f aca="true" t="shared" si="4" ref="C5:C26">IF(ISERROR(VLOOKUP($B5,對照表,8,0))=FALSE,VLOOKUP($B5,對照表,8,0),VLOOKUP($B5,對照表,8,1)+1)</f>
        <v>2</v>
      </c>
      <c r="D5" s="124">
        <f aca="true" t="shared" si="5" ref="D5:D27">IF(C5&gt;上限級數,上限級距,VLOOKUP($C5,級數表,2,0))</f>
        <v>27600</v>
      </c>
      <c r="E5" s="124">
        <f t="shared" si="0"/>
        <v>2372</v>
      </c>
      <c r="F5" s="124">
        <f t="shared" si="1"/>
        <v>27600</v>
      </c>
      <c r="G5" s="124">
        <f t="shared" si="2"/>
        <v>1344</v>
      </c>
      <c r="H5" s="4">
        <f t="shared" si="3"/>
        <v>72</v>
      </c>
      <c r="I5" s="4">
        <f aca="true" t="shared" si="6" ref="I5:I27">G5+H5</f>
        <v>1416</v>
      </c>
      <c r="J5" s="4">
        <f aca="true" t="shared" si="7" ref="J5:J27">I5+E5</f>
        <v>3788</v>
      </c>
      <c r="K5" s="124">
        <f aca="true" t="shared" si="8" ref="K5:K27">ROUND(F5*6%,0)</f>
        <v>1656</v>
      </c>
      <c r="L5" s="1"/>
      <c r="M5" s="1"/>
      <c r="N5" s="1"/>
    </row>
    <row r="6" spans="1:14" ht="19.5" customHeight="1">
      <c r="A6" s="3">
        <v>210</v>
      </c>
      <c r="B6" s="123">
        <f>ROUND($A6*'調薪俸點'!$D$2,0)</f>
        <v>28329</v>
      </c>
      <c r="C6" s="3">
        <f t="shared" si="4"/>
        <v>3</v>
      </c>
      <c r="D6" s="124">
        <f t="shared" si="5"/>
        <v>28800</v>
      </c>
      <c r="E6" s="124">
        <f t="shared" si="0"/>
        <v>2476</v>
      </c>
      <c r="F6" s="124">
        <f t="shared" si="1"/>
        <v>28800</v>
      </c>
      <c r="G6" s="124">
        <f t="shared" si="2"/>
        <v>1403</v>
      </c>
      <c r="H6" s="4">
        <f t="shared" si="3"/>
        <v>75</v>
      </c>
      <c r="I6" s="4">
        <f t="shared" si="6"/>
        <v>1478</v>
      </c>
      <c r="J6" s="4">
        <f t="shared" si="7"/>
        <v>3954</v>
      </c>
      <c r="K6" s="124">
        <f t="shared" si="8"/>
        <v>1728</v>
      </c>
      <c r="L6" s="1"/>
      <c r="M6" s="1"/>
      <c r="N6" s="1"/>
    </row>
    <row r="7" spans="1:14" s="9" customFormat="1" ht="19.5" customHeight="1">
      <c r="A7" s="3">
        <v>220</v>
      </c>
      <c r="B7" s="123">
        <f>ROUND($A7*'調薪俸點'!$D$2,0)</f>
        <v>29678</v>
      </c>
      <c r="C7" s="3">
        <f t="shared" si="4"/>
        <v>4</v>
      </c>
      <c r="D7" s="124">
        <f t="shared" si="5"/>
        <v>30300</v>
      </c>
      <c r="E7" s="124">
        <f t="shared" si="0"/>
        <v>2605</v>
      </c>
      <c r="F7" s="124">
        <f t="shared" si="1"/>
        <v>30300</v>
      </c>
      <c r="G7" s="124">
        <f t="shared" si="2"/>
        <v>1476</v>
      </c>
      <c r="H7" s="4">
        <f t="shared" si="3"/>
        <v>79</v>
      </c>
      <c r="I7" s="4">
        <f t="shared" si="6"/>
        <v>1555</v>
      </c>
      <c r="J7" s="4">
        <f t="shared" si="7"/>
        <v>4160</v>
      </c>
      <c r="K7" s="124">
        <f t="shared" si="8"/>
        <v>1818</v>
      </c>
      <c r="L7" s="10"/>
      <c r="M7" s="10"/>
      <c r="N7" s="10"/>
    </row>
    <row r="8" spans="1:14" ht="19.5" customHeight="1">
      <c r="A8" s="3">
        <v>230</v>
      </c>
      <c r="B8" s="123">
        <f>ROUND($A8*'調薪俸點'!$D$2,0)</f>
        <v>31027</v>
      </c>
      <c r="C8" s="3">
        <f t="shared" si="4"/>
        <v>5</v>
      </c>
      <c r="D8" s="124">
        <f t="shared" si="5"/>
        <v>31800</v>
      </c>
      <c r="E8" s="124">
        <f t="shared" si="0"/>
        <v>2734</v>
      </c>
      <c r="F8" s="124">
        <f t="shared" si="1"/>
        <v>31800</v>
      </c>
      <c r="G8" s="124">
        <f t="shared" si="2"/>
        <v>1549</v>
      </c>
      <c r="H8" s="4">
        <f t="shared" si="3"/>
        <v>82</v>
      </c>
      <c r="I8" s="4">
        <f t="shared" si="6"/>
        <v>1631</v>
      </c>
      <c r="J8" s="4">
        <f t="shared" si="7"/>
        <v>4365</v>
      </c>
      <c r="K8" s="124">
        <f t="shared" si="8"/>
        <v>1908</v>
      </c>
      <c r="L8" s="1"/>
      <c r="M8" s="1"/>
      <c r="N8" s="1"/>
    </row>
    <row r="9" spans="1:14" ht="19.5" customHeight="1">
      <c r="A9" s="3">
        <v>240</v>
      </c>
      <c r="B9" s="123">
        <f>ROUND($A9*'調薪俸點'!$D$2,0)</f>
        <v>32376</v>
      </c>
      <c r="C9" s="3">
        <f t="shared" si="4"/>
        <v>6</v>
      </c>
      <c r="D9" s="124">
        <f t="shared" si="5"/>
        <v>33300</v>
      </c>
      <c r="E9" s="124">
        <f t="shared" si="0"/>
        <v>2862</v>
      </c>
      <c r="F9" s="124">
        <f t="shared" si="1"/>
        <v>33300</v>
      </c>
      <c r="G9" s="124">
        <f t="shared" si="2"/>
        <v>1622</v>
      </c>
      <c r="H9" s="4">
        <f t="shared" si="3"/>
        <v>86</v>
      </c>
      <c r="I9" s="4">
        <f t="shared" si="6"/>
        <v>1708</v>
      </c>
      <c r="J9" s="4">
        <f t="shared" si="7"/>
        <v>4570</v>
      </c>
      <c r="K9" s="124">
        <f t="shared" si="8"/>
        <v>1998</v>
      </c>
      <c r="L9" s="1"/>
      <c r="M9" s="1"/>
      <c r="N9" s="1"/>
    </row>
    <row r="10" spans="1:14" ht="19.5" customHeight="1">
      <c r="A10" s="3">
        <v>250</v>
      </c>
      <c r="B10" s="123">
        <f>ROUND($A10*'調薪俸點'!$D$2,0)</f>
        <v>33725</v>
      </c>
      <c r="C10" s="3">
        <f t="shared" si="4"/>
        <v>7</v>
      </c>
      <c r="D10" s="124">
        <f t="shared" si="5"/>
        <v>34800</v>
      </c>
      <c r="E10" s="124">
        <f t="shared" si="0"/>
        <v>2992</v>
      </c>
      <c r="F10" s="124">
        <f t="shared" si="1"/>
        <v>34800</v>
      </c>
      <c r="G10" s="124">
        <f t="shared" si="2"/>
        <v>1695</v>
      </c>
      <c r="H10" s="4">
        <f t="shared" si="3"/>
        <v>89</v>
      </c>
      <c r="I10" s="4">
        <f t="shared" si="6"/>
        <v>1784</v>
      </c>
      <c r="J10" s="4">
        <f t="shared" si="7"/>
        <v>4776</v>
      </c>
      <c r="K10" s="124">
        <f t="shared" si="8"/>
        <v>2088</v>
      </c>
      <c r="L10" s="1"/>
      <c r="M10" s="1"/>
      <c r="N10" s="1"/>
    </row>
    <row r="11" spans="1:14" ht="19.5" customHeight="1">
      <c r="A11" s="3">
        <v>260</v>
      </c>
      <c r="B11" s="123">
        <f>ROUND($A11*'調薪俸點'!$D$2,0)</f>
        <v>35074</v>
      </c>
      <c r="C11" s="3">
        <f t="shared" si="4"/>
        <v>8</v>
      </c>
      <c r="D11" s="124">
        <f t="shared" si="5"/>
        <v>36300</v>
      </c>
      <c r="E11" s="124">
        <f t="shared" si="0"/>
        <v>3120</v>
      </c>
      <c r="F11" s="124">
        <f t="shared" si="1"/>
        <v>36300</v>
      </c>
      <c r="G11" s="124">
        <f t="shared" si="2"/>
        <v>1768</v>
      </c>
      <c r="H11" s="4">
        <f t="shared" si="3"/>
        <v>93</v>
      </c>
      <c r="I11" s="4">
        <f t="shared" si="6"/>
        <v>1861</v>
      </c>
      <c r="J11" s="4">
        <f t="shared" si="7"/>
        <v>4981</v>
      </c>
      <c r="K11" s="124">
        <f t="shared" si="8"/>
        <v>2178</v>
      </c>
      <c r="L11" s="1"/>
      <c r="M11" s="1"/>
      <c r="N11" s="1"/>
    </row>
    <row r="12" spans="1:14" ht="19.5" customHeight="1">
      <c r="A12" s="3">
        <v>270</v>
      </c>
      <c r="B12" s="123">
        <f>ROUND($A12*'調薪俸點'!$D$2,0)</f>
        <v>36423</v>
      </c>
      <c r="C12" s="3">
        <f t="shared" si="4"/>
        <v>9</v>
      </c>
      <c r="D12" s="124">
        <f t="shared" si="5"/>
        <v>38200</v>
      </c>
      <c r="E12" s="124">
        <f t="shared" si="0"/>
        <v>3283</v>
      </c>
      <c r="F12" s="124">
        <f t="shared" si="1"/>
        <v>38200</v>
      </c>
      <c r="G12" s="124">
        <f t="shared" si="2"/>
        <v>1860</v>
      </c>
      <c r="H12" s="4">
        <f t="shared" si="3"/>
        <v>97</v>
      </c>
      <c r="I12" s="4">
        <f t="shared" si="6"/>
        <v>1957</v>
      </c>
      <c r="J12" s="4">
        <f t="shared" si="7"/>
        <v>5240</v>
      </c>
      <c r="K12" s="124">
        <f t="shared" si="8"/>
        <v>2292</v>
      </c>
      <c r="L12" s="1"/>
      <c r="M12" s="1"/>
      <c r="N12" s="1"/>
    </row>
    <row r="13" spans="1:14" s="9" customFormat="1" ht="19.5" customHeight="1">
      <c r="A13" s="3">
        <v>280</v>
      </c>
      <c r="B13" s="123">
        <f>ROUND($A13*'調薪俸點'!$D$2,0)</f>
        <v>37772</v>
      </c>
      <c r="C13" s="3">
        <f t="shared" si="4"/>
        <v>9</v>
      </c>
      <c r="D13" s="124">
        <f t="shared" si="5"/>
        <v>38200</v>
      </c>
      <c r="E13" s="124">
        <f t="shared" si="0"/>
        <v>3283</v>
      </c>
      <c r="F13" s="124">
        <f t="shared" si="1"/>
        <v>38200</v>
      </c>
      <c r="G13" s="124">
        <f t="shared" si="2"/>
        <v>1860</v>
      </c>
      <c r="H13" s="4">
        <f t="shared" si="3"/>
        <v>100</v>
      </c>
      <c r="I13" s="4">
        <f t="shared" si="6"/>
        <v>1960</v>
      </c>
      <c r="J13" s="4">
        <f t="shared" si="7"/>
        <v>5243</v>
      </c>
      <c r="K13" s="124">
        <f t="shared" si="8"/>
        <v>2292</v>
      </c>
      <c r="L13" s="10"/>
      <c r="M13" s="10"/>
      <c r="N13" s="10"/>
    </row>
    <row r="14" spans="1:14" ht="19.5" customHeight="1">
      <c r="A14" s="3">
        <v>290</v>
      </c>
      <c r="B14" s="123">
        <f>ROUND($A14*'調薪俸點'!$D$2,0)</f>
        <v>39121</v>
      </c>
      <c r="C14" s="3">
        <f t="shared" si="4"/>
        <v>10</v>
      </c>
      <c r="D14" s="124">
        <f t="shared" si="5"/>
        <v>40100</v>
      </c>
      <c r="E14" s="124">
        <f t="shared" si="0"/>
        <v>3447</v>
      </c>
      <c r="F14" s="124">
        <f t="shared" si="1"/>
        <v>40100</v>
      </c>
      <c r="G14" s="124">
        <f t="shared" si="2"/>
        <v>1953</v>
      </c>
      <c r="H14" s="4">
        <f t="shared" si="3"/>
        <v>104</v>
      </c>
      <c r="I14" s="4">
        <f t="shared" si="6"/>
        <v>2057</v>
      </c>
      <c r="J14" s="4">
        <f t="shared" si="7"/>
        <v>5504</v>
      </c>
      <c r="K14" s="124">
        <f t="shared" si="8"/>
        <v>2406</v>
      </c>
      <c r="L14" s="1"/>
      <c r="M14" s="1"/>
      <c r="N14" s="1"/>
    </row>
    <row r="15" spans="1:14" ht="19.5" customHeight="1">
      <c r="A15" s="3">
        <v>296</v>
      </c>
      <c r="B15" s="123">
        <f>ROUND($A15*'調薪俸點'!$D$2,0)</f>
        <v>39930</v>
      </c>
      <c r="C15" s="3">
        <f>IF(ISERROR(VLOOKUP($B15,對照表,8,0))=FALSE,VLOOKUP($B15,對照表,8,0),VLOOKUP($B15,對照表,8,1)+1)</f>
        <v>10</v>
      </c>
      <c r="D15" s="124">
        <f>IF(C15&gt;上限級數,上限級距,VLOOKUP($C15,級數表,2,0))</f>
        <v>40100</v>
      </c>
      <c r="E15" s="124">
        <f>VLOOKUP($C15,級數表,4,0)+ROUND($D15*職災費率,0)+ROUND($D15*工墊費率,0)</f>
        <v>3447</v>
      </c>
      <c r="F15" s="124">
        <f>VLOOKUP($C15,級數表,2,0)</f>
        <v>40100</v>
      </c>
      <c r="G15" s="124">
        <f>VLOOKUP($C15,級數表,6,0)</f>
        <v>1953</v>
      </c>
      <c r="H15" s="4">
        <f t="shared" si="3"/>
        <v>106</v>
      </c>
      <c r="I15" s="4">
        <f>G15+H15</f>
        <v>2059</v>
      </c>
      <c r="J15" s="4">
        <f>I15+E15</f>
        <v>5506</v>
      </c>
      <c r="K15" s="124">
        <f>ROUND(F15*6%,0)</f>
        <v>2406</v>
      </c>
      <c r="L15" s="1"/>
      <c r="M15" s="1"/>
      <c r="N15" s="1"/>
    </row>
    <row r="16" spans="1:14" ht="19.5" customHeight="1">
      <c r="A16" s="3">
        <v>300</v>
      </c>
      <c r="B16" s="123">
        <f>ROUND($A16*'調薪俸點'!$D$2,0)</f>
        <v>40470</v>
      </c>
      <c r="C16" s="3">
        <f t="shared" si="4"/>
        <v>11</v>
      </c>
      <c r="D16" s="124">
        <f t="shared" si="5"/>
        <v>42000</v>
      </c>
      <c r="E16" s="124">
        <f t="shared" si="0"/>
        <v>3610</v>
      </c>
      <c r="F16" s="124">
        <f t="shared" si="1"/>
        <v>42000</v>
      </c>
      <c r="G16" s="124">
        <f t="shared" si="2"/>
        <v>2045</v>
      </c>
      <c r="H16" s="4">
        <f t="shared" si="3"/>
        <v>107</v>
      </c>
      <c r="I16" s="4">
        <f t="shared" si="6"/>
        <v>2152</v>
      </c>
      <c r="J16" s="4">
        <f t="shared" si="7"/>
        <v>5762</v>
      </c>
      <c r="K16" s="124">
        <f t="shared" si="8"/>
        <v>2520</v>
      </c>
      <c r="L16" s="1"/>
      <c r="M16" s="1"/>
      <c r="N16" s="1"/>
    </row>
    <row r="17" spans="1:14" ht="19.5" customHeight="1">
      <c r="A17" s="3">
        <v>310</v>
      </c>
      <c r="B17" s="123">
        <f>ROUND($A17*'調薪俸點'!$D$2,0)</f>
        <v>41819</v>
      </c>
      <c r="C17" s="3">
        <f t="shared" si="4"/>
        <v>11</v>
      </c>
      <c r="D17" s="124">
        <f t="shared" si="5"/>
        <v>42000</v>
      </c>
      <c r="E17" s="124">
        <f t="shared" si="0"/>
        <v>3610</v>
      </c>
      <c r="F17" s="124">
        <f t="shared" si="1"/>
        <v>42000</v>
      </c>
      <c r="G17" s="124">
        <f t="shared" si="2"/>
        <v>2045</v>
      </c>
      <c r="H17" s="4">
        <f t="shared" si="3"/>
        <v>111</v>
      </c>
      <c r="I17" s="4">
        <f t="shared" si="6"/>
        <v>2156</v>
      </c>
      <c r="J17" s="4">
        <f t="shared" si="7"/>
        <v>5766</v>
      </c>
      <c r="K17" s="124">
        <f t="shared" si="8"/>
        <v>2520</v>
      </c>
      <c r="L17" s="1"/>
      <c r="M17" s="1"/>
      <c r="N17" s="1"/>
    </row>
    <row r="18" spans="1:14" ht="19.5" customHeight="1">
      <c r="A18" s="3">
        <v>312</v>
      </c>
      <c r="B18" s="123">
        <f>ROUND($A18*'調薪俸點'!$D$2,0)</f>
        <v>42089</v>
      </c>
      <c r="C18" s="3">
        <f>IF(ISERROR(VLOOKUP($B18,對照表,8,0))=FALSE,VLOOKUP($B18,對照表,8,0),VLOOKUP($B18,對照表,8,1)+1)</f>
        <v>12</v>
      </c>
      <c r="D18" s="124">
        <f>IF(C18&gt;上限級數,上限級距,VLOOKUP($C18,級數表,2,0))</f>
        <v>43900</v>
      </c>
      <c r="E18" s="124">
        <f>VLOOKUP($C18,級數表,4,0)+ROUND($D18*職災費率,0)+ROUND($D18*工墊費率,0)</f>
        <v>3773</v>
      </c>
      <c r="F18" s="124">
        <f>VLOOKUP($C18,級數表,2,0)</f>
        <v>43900</v>
      </c>
      <c r="G18" s="124">
        <f>VLOOKUP($C18,級數表,6,0)</f>
        <v>2138</v>
      </c>
      <c r="H18" s="4">
        <f t="shared" si="3"/>
        <v>112</v>
      </c>
      <c r="I18" s="4">
        <f>G18+H18</f>
        <v>2250</v>
      </c>
      <c r="J18" s="4">
        <f>I18+E18</f>
        <v>6023</v>
      </c>
      <c r="K18" s="124">
        <f>ROUND(F18*6%,0)</f>
        <v>2634</v>
      </c>
      <c r="L18" s="1"/>
      <c r="M18" s="1"/>
      <c r="N18" s="1"/>
    </row>
    <row r="19" spans="1:14" ht="19.5" customHeight="1">
      <c r="A19" s="3">
        <v>320</v>
      </c>
      <c r="B19" s="123">
        <f>ROUND($A19*'調薪俸點'!$D$2,0)</f>
        <v>43168</v>
      </c>
      <c r="C19" s="3">
        <f t="shared" si="4"/>
        <v>12</v>
      </c>
      <c r="D19" s="124">
        <f t="shared" si="5"/>
        <v>43900</v>
      </c>
      <c r="E19" s="124">
        <f t="shared" si="0"/>
        <v>3773</v>
      </c>
      <c r="F19" s="124">
        <f t="shared" si="1"/>
        <v>43900</v>
      </c>
      <c r="G19" s="124">
        <f t="shared" si="2"/>
        <v>2138</v>
      </c>
      <c r="H19" s="4">
        <f t="shared" si="3"/>
        <v>114</v>
      </c>
      <c r="I19" s="4">
        <f t="shared" si="6"/>
        <v>2252</v>
      </c>
      <c r="J19" s="4">
        <f t="shared" si="7"/>
        <v>6025</v>
      </c>
      <c r="K19" s="124">
        <f t="shared" si="8"/>
        <v>2634</v>
      </c>
      <c r="L19" s="1"/>
      <c r="M19" s="1"/>
      <c r="N19" s="1"/>
    </row>
    <row r="20" spans="1:14" ht="19.5" customHeight="1">
      <c r="A20" s="3">
        <v>328</v>
      </c>
      <c r="B20" s="123">
        <f>ROUND($A20*'調薪俸點'!$D$2,0)</f>
        <v>44247</v>
      </c>
      <c r="C20" s="3">
        <f>IF(ISERROR(VLOOKUP($B20,對照表,8,0))=FALSE,VLOOKUP($B20,對照表,8,0),VLOOKUP($B20,對照表,8,1)+1)</f>
        <v>13</v>
      </c>
      <c r="D20" s="124">
        <f>IF(C20&gt;上限級數,上限級距,VLOOKUP($C20,級數表,2,0))</f>
        <v>45800</v>
      </c>
      <c r="E20" s="124">
        <f>VLOOKUP($C20,級數表,4,0)+ROUND($D20*職災費率,0)+ROUND($D20*工墊費率,0)</f>
        <v>3937</v>
      </c>
      <c r="F20" s="124">
        <f>VLOOKUP($C20,級數表,2,0)</f>
        <v>45800</v>
      </c>
      <c r="G20" s="124">
        <f>VLOOKUP($C20,級數表,6,0)</f>
        <v>2231</v>
      </c>
      <c r="H20" s="4">
        <f t="shared" si="3"/>
        <v>117</v>
      </c>
      <c r="I20" s="4">
        <f>G20+H20</f>
        <v>2348</v>
      </c>
      <c r="J20" s="4">
        <f>I20+E20</f>
        <v>6285</v>
      </c>
      <c r="K20" s="124">
        <f>ROUND(F20*6%,0)</f>
        <v>2748</v>
      </c>
      <c r="L20" s="1"/>
      <c r="M20" s="1"/>
      <c r="N20" s="1"/>
    </row>
    <row r="21" spans="1:14" ht="19.5" customHeight="1">
      <c r="A21" s="3">
        <v>330</v>
      </c>
      <c r="B21" s="123">
        <f>ROUND($A21*'調薪俸點'!$D$2,0)</f>
        <v>44517</v>
      </c>
      <c r="C21" s="3">
        <f t="shared" si="4"/>
        <v>13</v>
      </c>
      <c r="D21" s="124">
        <f t="shared" si="5"/>
        <v>45800</v>
      </c>
      <c r="E21" s="124">
        <f t="shared" si="0"/>
        <v>3937</v>
      </c>
      <c r="F21" s="124">
        <f t="shared" si="1"/>
        <v>45800</v>
      </c>
      <c r="G21" s="124">
        <f t="shared" si="2"/>
        <v>2231</v>
      </c>
      <c r="H21" s="4">
        <f t="shared" si="3"/>
        <v>118</v>
      </c>
      <c r="I21" s="4">
        <f t="shared" si="6"/>
        <v>2349</v>
      </c>
      <c r="J21" s="4">
        <f t="shared" si="7"/>
        <v>6286</v>
      </c>
      <c r="K21" s="124">
        <f t="shared" si="8"/>
        <v>2748</v>
      </c>
      <c r="L21" s="1"/>
      <c r="M21" s="1"/>
      <c r="N21" s="1"/>
    </row>
    <row r="22" spans="1:14" ht="19.5" customHeight="1">
      <c r="A22" s="3">
        <v>344</v>
      </c>
      <c r="B22" s="123">
        <f>ROUND($A22*'調薪俸點'!$D$2,0)</f>
        <v>46406</v>
      </c>
      <c r="C22" s="3">
        <f t="shared" si="4"/>
        <v>14</v>
      </c>
      <c r="D22" s="124">
        <f t="shared" si="5"/>
        <v>45800</v>
      </c>
      <c r="E22" s="124">
        <f t="shared" si="0"/>
        <v>3937</v>
      </c>
      <c r="F22" s="124">
        <f t="shared" si="1"/>
        <v>48200</v>
      </c>
      <c r="G22" s="124">
        <f t="shared" si="2"/>
        <v>2347</v>
      </c>
      <c r="H22" s="4">
        <f t="shared" si="3"/>
        <v>123</v>
      </c>
      <c r="I22" s="4">
        <f t="shared" si="6"/>
        <v>2470</v>
      </c>
      <c r="J22" s="4">
        <f t="shared" si="7"/>
        <v>6407</v>
      </c>
      <c r="K22" s="124">
        <f t="shared" si="8"/>
        <v>2892</v>
      </c>
      <c r="L22" s="1"/>
      <c r="M22" s="1"/>
      <c r="N22" s="1"/>
    </row>
    <row r="23" spans="1:14" ht="19.5" customHeight="1">
      <c r="A23" s="3">
        <v>360</v>
      </c>
      <c r="B23" s="123">
        <f>ROUND($A23*'調薪俸點'!$D$2,0)</f>
        <v>48564</v>
      </c>
      <c r="C23" s="3">
        <f t="shared" si="4"/>
        <v>15</v>
      </c>
      <c r="D23" s="124">
        <f t="shared" si="5"/>
        <v>45800</v>
      </c>
      <c r="E23" s="124">
        <f t="shared" si="0"/>
        <v>3937</v>
      </c>
      <c r="F23" s="124">
        <f t="shared" si="1"/>
        <v>50600</v>
      </c>
      <c r="G23" s="124">
        <f t="shared" si="2"/>
        <v>2464</v>
      </c>
      <c r="H23" s="4">
        <f t="shared" si="3"/>
        <v>129</v>
      </c>
      <c r="I23" s="4">
        <f t="shared" si="6"/>
        <v>2593</v>
      </c>
      <c r="J23" s="4">
        <f t="shared" si="7"/>
        <v>6530</v>
      </c>
      <c r="K23" s="124">
        <f t="shared" si="8"/>
        <v>3036</v>
      </c>
      <c r="L23" s="1"/>
      <c r="M23" s="1"/>
      <c r="N23" s="1"/>
    </row>
    <row r="24" spans="1:14" ht="19.5" customHeight="1">
      <c r="A24" s="3">
        <v>376</v>
      </c>
      <c r="B24" s="123">
        <f>ROUND($A24*'調薪俸點'!$D$2,0)</f>
        <v>50722</v>
      </c>
      <c r="C24" s="3">
        <f t="shared" si="4"/>
        <v>16</v>
      </c>
      <c r="D24" s="124">
        <f t="shared" si="5"/>
        <v>45800</v>
      </c>
      <c r="E24" s="124">
        <f t="shared" si="0"/>
        <v>3937</v>
      </c>
      <c r="F24" s="124">
        <f t="shared" si="1"/>
        <v>53000</v>
      </c>
      <c r="G24" s="124">
        <f t="shared" si="2"/>
        <v>2581</v>
      </c>
      <c r="H24" s="4">
        <f t="shared" si="3"/>
        <v>134</v>
      </c>
      <c r="I24" s="4">
        <f t="shared" si="6"/>
        <v>2715</v>
      </c>
      <c r="J24" s="4">
        <f t="shared" si="7"/>
        <v>6652</v>
      </c>
      <c r="K24" s="124">
        <f t="shared" si="8"/>
        <v>3180</v>
      </c>
      <c r="L24" s="1"/>
      <c r="M24" s="1"/>
      <c r="N24" s="1"/>
    </row>
    <row r="25" spans="1:14" ht="19.5" customHeight="1">
      <c r="A25" s="3">
        <v>392</v>
      </c>
      <c r="B25" s="123">
        <f>ROUND($A25*'調薪俸點'!$D$2,0)</f>
        <v>52881</v>
      </c>
      <c r="C25" s="3">
        <f t="shared" si="4"/>
        <v>16</v>
      </c>
      <c r="D25" s="124">
        <f t="shared" si="5"/>
        <v>45800</v>
      </c>
      <c r="E25" s="124">
        <f t="shared" si="0"/>
        <v>3937</v>
      </c>
      <c r="F25" s="124">
        <f t="shared" si="1"/>
        <v>53000</v>
      </c>
      <c r="G25" s="124">
        <f t="shared" si="2"/>
        <v>2581</v>
      </c>
      <c r="H25" s="4">
        <f t="shared" si="3"/>
        <v>140</v>
      </c>
      <c r="I25" s="4">
        <f t="shared" si="6"/>
        <v>2721</v>
      </c>
      <c r="J25" s="4">
        <f t="shared" si="7"/>
        <v>6658</v>
      </c>
      <c r="K25" s="124">
        <f t="shared" si="8"/>
        <v>3180</v>
      </c>
      <c r="L25" s="1"/>
      <c r="M25" s="1"/>
      <c r="N25" s="1"/>
    </row>
    <row r="26" spans="1:14" ht="19.5" customHeight="1">
      <c r="A26" s="3">
        <v>408</v>
      </c>
      <c r="B26" s="123">
        <f>ROUND($A26*'調薪俸點'!$D$2,0)</f>
        <v>55039</v>
      </c>
      <c r="C26" s="3">
        <f t="shared" si="4"/>
        <v>17</v>
      </c>
      <c r="D26" s="124">
        <f t="shared" si="5"/>
        <v>45800</v>
      </c>
      <c r="E26" s="124">
        <f t="shared" si="0"/>
        <v>3937</v>
      </c>
      <c r="F26" s="124">
        <f t="shared" si="1"/>
        <v>55400</v>
      </c>
      <c r="G26" s="124">
        <f>VLOOKUP($C26,級數表,6,0)</f>
        <v>2698</v>
      </c>
      <c r="H26" s="4">
        <f t="shared" si="3"/>
        <v>146</v>
      </c>
      <c r="I26" s="4">
        <f t="shared" si="6"/>
        <v>2844</v>
      </c>
      <c r="J26" s="4">
        <f t="shared" si="7"/>
        <v>6781</v>
      </c>
      <c r="K26" s="124">
        <f t="shared" si="8"/>
        <v>3324</v>
      </c>
      <c r="L26" s="1"/>
      <c r="M26" s="1"/>
      <c r="N26" s="1"/>
    </row>
    <row r="27" spans="1:14" ht="19.5" customHeight="1">
      <c r="A27" s="3">
        <v>424</v>
      </c>
      <c r="B27" s="123">
        <f>ROUND($A27*'調薪俸點'!$D$2,0)</f>
        <v>57198</v>
      </c>
      <c r="C27" s="3">
        <f>IF(ISERROR(VLOOKUP($B27,對照表,8,0))=FALSE,VLOOKUP($B27,對照表,8,0),VLOOKUP($B27,對照表,8,1)+1)</f>
        <v>18</v>
      </c>
      <c r="D27" s="124">
        <f t="shared" si="5"/>
        <v>45800</v>
      </c>
      <c r="E27" s="124">
        <f t="shared" si="0"/>
        <v>3937</v>
      </c>
      <c r="F27" s="124">
        <f t="shared" si="1"/>
        <v>57800</v>
      </c>
      <c r="G27" s="124">
        <f t="shared" si="2"/>
        <v>2815</v>
      </c>
      <c r="H27" s="4">
        <f t="shared" si="3"/>
        <v>151</v>
      </c>
      <c r="I27" s="4">
        <f t="shared" si="6"/>
        <v>2966</v>
      </c>
      <c r="J27" s="4">
        <f t="shared" si="7"/>
        <v>6903</v>
      </c>
      <c r="K27" s="124">
        <f t="shared" si="8"/>
        <v>3468</v>
      </c>
      <c r="L27" s="1"/>
      <c r="M27" s="1"/>
      <c r="N27" s="1"/>
    </row>
    <row r="28" spans="2:14" ht="19.5" customHeight="1"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1" ht="31.5" customHeight="1">
      <c r="A29" s="11" t="s">
        <v>15</v>
      </c>
      <c r="C29" s="11"/>
      <c r="K29" s="5" t="s">
        <v>1</v>
      </c>
    </row>
    <row r="30" spans="1:11" ht="55.5" customHeight="1">
      <c r="A30" s="8" t="s">
        <v>6</v>
      </c>
      <c r="B30" s="8" t="s">
        <v>7</v>
      </c>
      <c r="C30" s="8" t="s">
        <v>11</v>
      </c>
      <c r="D30" s="8" t="s">
        <v>8</v>
      </c>
      <c r="E30" s="8" t="s">
        <v>2</v>
      </c>
      <c r="F30" s="8" t="s">
        <v>9</v>
      </c>
      <c r="G30" s="8" t="s">
        <v>3</v>
      </c>
      <c r="H30" s="8" t="s">
        <v>13</v>
      </c>
      <c r="I30" s="8" t="s">
        <v>5</v>
      </c>
      <c r="J30" s="8" t="s">
        <v>4</v>
      </c>
      <c r="K30" s="8" t="s">
        <v>14</v>
      </c>
    </row>
    <row r="31" spans="1:11" ht="19.5" customHeight="1">
      <c r="A31" s="4">
        <f>'調薪俸點'!$B$6*8</f>
        <v>1408</v>
      </c>
      <c r="B31" s="4">
        <f>A31*25</f>
        <v>35200</v>
      </c>
      <c r="C31" s="3">
        <f>IF(ISERROR(VLOOKUP($B31,對照表,8,0))=FALSE,VLOOKUP($B31,對照表,8,0),VLOOKUP($B31,對照表,8,1)+1)</f>
        <v>8</v>
      </c>
      <c r="D31" s="124">
        <f>IF(C31&gt;上限級數,上限級距,VLOOKUP($C31,級數表,2,0))</f>
        <v>36300</v>
      </c>
      <c r="E31" s="124">
        <f>VLOOKUP($C31,級數表,4,0)+ROUND($D31*職災費率,0)+ROUND($D31*工墊費率,0)</f>
        <v>3120</v>
      </c>
      <c r="F31" s="124">
        <f>VLOOKUP($C31,級數表,2,0)</f>
        <v>36300</v>
      </c>
      <c r="G31" s="124">
        <f>VLOOKUP($C31,級數表,6,0)</f>
        <v>1768</v>
      </c>
      <c r="H31" s="4">
        <f>ROUNDUP((B31*1.5*二代健保費率)/12,0)</f>
        <v>93</v>
      </c>
      <c r="I31" s="4">
        <f>G31+H31</f>
        <v>1861</v>
      </c>
      <c r="J31" s="4">
        <f>I31+E31</f>
        <v>4981</v>
      </c>
      <c r="K31" s="124">
        <f>ROUND(F31*6%,0)</f>
        <v>2178</v>
      </c>
    </row>
    <row r="32" ht="24.75" customHeight="1"/>
    <row r="33" spans="1:11" ht="19.5">
      <c r="A33" s="11" t="s">
        <v>167</v>
      </c>
      <c r="B33" s="125"/>
      <c r="C33" s="126"/>
      <c r="D33" s="125"/>
      <c r="E33" s="125"/>
      <c r="F33" s="125"/>
      <c r="G33" s="125"/>
      <c r="H33" s="125"/>
      <c r="I33" s="125"/>
      <c r="J33" s="125"/>
      <c r="K33" s="125"/>
    </row>
    <row r="34" spans="1:11" ht="49.5">
      <c r="A34" s="8"/>
      <c r="B34" s="8" t="s">
        <v>12</v>
      </c>
      <c r="C34" s="8" t="s">
        <v>11</v>
      </c>
      <c r="D34" s="8" t="s">
        <v>8</v>
      </c>
      <c r="E34" s="8" t="s">
        <v>2</v>
      </c>
      <c r="F34" s="8" t="s">
        <v>9</v>
      </c>
      <c r="G34" s="8" t="s">
        <v>3</v>
      </c>
      <c r="H34" s="8" t="s">
        <v>13</v>
      </c>
      <c r="I34" s="8" t="s">
        <v>5</v>
      </c>
      <c r="J34" s="8" t="s">
        <v>4</v>
      </c>
      <c r="K34" s="8" t="s">
        <v>14</v>
      </c>
    </row>
    <row r="35" spans="1:11" ht="19.5" customHeight="1">
      <c r="A35" s="12"/>
      <c r="B35" s="127">
        <v>26400</v>
      </c>
      <c r="C35" s="3">
        <f aca="true" t="shared" si="9" ref="C35:C40">IF(ISERROR(VLOOKUP($B35,對照表,8,0))=FALSE,VLOOKUP($B35,對照表,8,0),VLOOKUP($B35,對照表,8,1)+1)</f>
        <v>1</v>
      </c>
      <c r="D35" s="124">
        <f aca="true" t="shared" si="10" ref="D35:D40">IF(C35&gt;上限級數,上限級距,VLOOKUP($C35,級數表,2,0))</f>
        <v>26400</v>
      </c>
      <c r="E35" s="124">
        <f aca="true" t="shared" si="11" ref="E35:E40">VLOOKUP($C35,級數表,4,0)+ROUND($D35*職災費率,0)+ROUND($D35*工墊費率,0)</f>
        <v>2270</v>
      </c>
      <c r="F35" s="124">
        <f aca="true" t="shared" si="12" ref="F35:F40">VLOOKUP($C35,級數表,2,0)</f>
        <v>26400</v>
      </c>
      <c r="G35" s="124">
        <f aca="true" t="shared" si="13" ref="G35:G40">VLOOKUP($C35,級數表,6,0)</f>
        <v>1286</v>
      </c>
      <c r="H35" s="4">
        <f aca="true" t="shared" si="14" ref="H35:H40">ROUNDUP((B35*1.5*二代健保費率)/12,0)</f>
        <v>70</v>
      </c>
      <c r="I35" s="4">
        <f aca="true" t="shared" si="15" ref="I35:I40">G35+H35</f>
        <v>1356</v>
      </c>
      <c r="J35" s="4">
        <f aca="true" t="shared" si="16" ref="J35:J40">I35+E35</f>
        <v>3626</v>
      </c>
      <c r="K35" s="124">
        <f aca="true" t="shared" si="17" ref="K35:K40">ROUND(F35*6%,0)</f>
        <v>1584</v>
      </c>
    </row>
    <row r="36" spans="1:11" ht="19.5" customHeight="1">
      <c r="A36" s="12"/>
      <c r="B36" s="127">
        <v>0</v>
      </c>
      <c r="C36" s="3" t="e">
        <f t="shared" si="9"/>
        <v>#N/A</v>
      </c>
      <c r="D36" s="124" t="e">
        <f t="shared" si="10"/>
        <v>#N/A</v>
      </c>
      <c r="E36" s="124" t="e">
        <f t="shared" si="11"/>
        <v>#N/A</v>
      </c>
      <c r="F36" s="124" t="e">
        <f t="shared" si="12"/>
        <v>#N/A</v>
      </c>
      <c r="G36" s="124" t="e">
        <f t="shared" si="13"/>
        <v>#N/A</v>
      </c>
      <c r="H36" s="4">
        <f t="shared" si="14"/>
        <v>0</v>
      </c>
      <c r="I36" s="4" t="e">
        <f t="shared" si="15"/>
        <v>#N/A</v>
      </c>
      <c r="J36" s="4" t="e">
        <f t="shared" si="16"/>
        <v>#N/A</v>
      </c>
      <c r="K36" s="124" t="e">
        <f t="shared" si="17"/>
        <v>#N/A</v>
      </c>
    </row>
    <row r="37" spans="1:11" ht="19.5" customHeight="1">
      <c r="A37" s="12"/>
      <c r="B37" s="127">
        <v>0</v>
      </c>
      <c r="C37" s="3" t="e">
        <f t="shared" si="9"/>
        <v>#N/A</v>
      </c>
      <c r="D37" s="124" t="e">
        <f t="shared" si="10"/>
        <v>#N/A</v>
      </c>
      <c r="E37" s="124" t="e">
        <f t="shared" si="11"/>
        <v>#N/A</v>
      </c>
      <c r="F37" s="124" t="e">
        <f t="shared" si="12"/>
        <v>#N/A</v>
      </c>
      <c r="G37" s="124" t="e">
        <f t="shared" si="13"/>
        <v>#N/A</v>
      </c>
      <c r="H37" s="4">
        <f t="shared" si="14"/>
        <v>0</v>
      </c>
      <c r="I37" s="4" t="e">
        <f t="shared" si="15"/>
        <v>#N/A</v>
      </c>
      <c r="J37" s="4" t="e">
        <f t="shared" si="16"/>
        <v>#N/A</v>
      </c>
      <c r="K37" s="124" t="e">
        <f t="shared" si="17"/>
        <v>#N/A</v>
      </c>
    </row>
    <row r="38" spans="1:11" ht="19.5" customHeight="1">
      <c r="A38" s="12"/>
      <c r="B38" s="127">
        <v>0</v>
      </c>
      <c r="C38" s="3" t="e">
        <f t="shared" si="9"/>
        <v>#N/A</v>
      </c>
      <c r="D38" s="124" t="e">
        <f t="shared" si="10"/>
        <v>#N/A</v>
      </c>
      <c r="E38" s="124" t="e">
        <f t="shared" si="11"/>
        <v>#N/A</v>
      </c>
      <c r="F38" s="124" t="e">
        <f t="shared" si="12"/>
        <v>#N/A</v>
      </c>
      <c r="G38" s="124" t="e">
        <f t="shared" si="13"/>
        <v>#N/A</v>
      </c>
      <c r="H38" s="4">
        <f t="shared" si="14"/>
        <v>0</v>
      </c>
      <c r="I38" s="4" t="e">
        <f t="shared" si="15"/>
        <v>#N/A</v>
      </c>
      <c r="J38" s="4" t="e">
        <f t="shared" si="16"/>
        <v>#N/A</v>
      </c>
      <c r="K38" s="124" t="e">
        <f t="shared" si="17"/>
        <v>#N/A</v>
      </c>
    </row>
    <row r="39" spans="1:11" ht="19.5" customHeight="1">
      <c r="A39" s="12"/>
      <c r="B39" s="127">
        <v>0</v>
      </c>
      <c r="C39" s="3" t="e">
        <f t="shared" si="9"/>
        <v>#N/A</v>
      </c>
      <c r="D39" s="124" t="e">
        <f t="shared" si="10"/>
        <v>#N/A</v>
      </c>
      <c r="E39" s="124" t="e">
        <f t="shared" si="11"/>
        <v>#N/A</v>
      </c>
      <c r="F39" s="124" t="e">
        <f t="shared" si="12"/>
        <v>#N/A</v>
      </c>
      <c r="G39" s="124" t="e">
        <f t="shared" si="13"/>
        <v>#N/A</v>
      </c>
      <c r="H39" s="4">
        <f t="shared" si="14"/>
        <v>0</v>
      </c>
      <c r="I39" s="4" t="e">
        <f t="shared" si="15"/>
        <v>#N/A</v>
      </c>
      <c r="J39" s="4" t="e">
        <f t="shared" si="16"/>
        <v>#N/A</v>
      </c>
      <c r="K39" s="124" t="e">
        <f t="shared" si="17"/>
        <v>#N/A</v>
      </c>
    </row>
    <row r="40" spans="1:11" ht="19.5" customHeight="1">
      <c r="A40" s="12"/>
      <c r="B40" s="127">
        <v>0</v>
      </c>
      <c r="C40" s="3" t="e">
        <f t="shared" si="9"/>
        <v>#N/A</v>
      </c>
      <c r="D40" s="124" t="e">
        <f t="shared" si="10"/>
        <v>#N/A</v>
      </c>
      <c r="E40" s="124" t="e">
        <f t="shared" si="11"/>
        <v>#N/A</v>
      </c>
      <c r="F40" s="124" t="e">
        <f t="shared" si="12"/>
        <v>#N/A</v>
      </c>
      <c r="G40" s="124" t="e">
        <f t="shared" si="13"/>
        <v>#N/A</v>
      </c>
      <c r="H40" s="4">
        <f t="shared" si="14"/>
        <v>0</v>
      </c>
      <c r="I40" s="4" t="e">
        <f t="shared" si="15"/>
        <v>#N/A</v>
      </c>
      <c r="J40" s="4" t="e">
        <f t="shared" si="16"/>
        <v>#N/A</v>
      </c>
      <c r="K40" s="124" t="e">
        <f t="shared" si="17"/>
        <v>#N/A</v>
      </c>
    </row>
  </sheetData>
  <sheetProtection/>
  <printOptions horizontalCentered="1"/>
  <pageMargins left="0" right="0" top="0" bottom="0" header="0" footer="0"/>
  <pageSetup horizontalDpi="600" verticalDpi="6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25"/>
  <sheetViews>
    <sheetView zoomScale="96" zoomScaleNormal="96" zoomScalePageLayoutView="0" workbookViewId="0" topLeftCell="A4">
      <selection activeCell="A31" sqref="A31"/>
    </sheetView>
  </sheetViews>
  <sheetFormatPr defaultColWidth="9.00390625" defaultRowHeight="16.5"/>
  <cols>
    <col min="1" max="1" width="9.00390625" style="15" customWidth="1"/>
    <col min="2" max="2" width="10.375" style="15" customWidth="1"/>
    <col min="3" max="3" width="6.00390625" style="15" hidden="1" customWidth="1"/>
    <col min="4" max="4" width="11.75390625" style="15" customWidth="1"/>
    <col min="5" max="5" width="9.00390625" style="15" customWidth="1"/>
    <col min="6" max="6" width="11.375" style="15" customWidth="1"/>
    <col min="7" max="7" width="9.50390625" style="15" customWidth="1"/>
    <col min="8" max="8" width="8.625" style="15" customWidth="1"/>
    <col min="9" max="10" width="10.625" style="15" customWidth="1"/>
    <col min="11" max="11" width="10.50390625" style="15" bestFit="1" customWidth="1"/>
    <col min="12" max="12" width="7.00390625" style="15" customWidth="1"/>
    <col min="13" max="16384" width="9.00390625" style="15" customWidth="1"/>
  </cols>
  <sheetData>
    <row r="1" spans="1:11" ht="30" customHeight="1">
      <c r="A1" s="13" t="s">
        <v>168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>
      <c r="A2" s="16" t="s">
        <v>37</v>
      </c>
      <c r="K2" s="17" t="s">
        <v>1</v>
      </c>
    </row>
    <row r="3" spans="1:12" ht="51" customHeight="1">
      <c r="A3" s="128" t="s">
        <v>0</v>
      </c>
      <c r="B3" s="129" t="s">
        <v>169</v>
      </c>
      <c r="C3" s="129" t="s">
        <v>11</v>
      </c>
      <c r="D3" s="129" t="s">
        <v>8</v>
      </c>
      <c r="E3" s="129" t="s">
        <v>2</v>
      </c>
      <c r="F3" s="129" t="s">
        <v>9</v>
      </c>
      <c r="G3" s="129" t="s">
        <v>36</v>
      </c>
      <c r="H3" s="129" t="s">
        <v>13</v>
      </c>
      <c r="I3" s="129" t="s">
        <v>5</v>
      </c>
      <c r="J3" s="129" t="s">
        <v>4</v>
      </c>
      <c r="K3" s="129" t="s">
        <v>14</v>
      </c>
      <c r="L3" s="18"/>
    </row>
    <row r="4" spans="1:13" ht="30" customHeight="1">
      <c r="A4" s="130">
        <v>190</v>
      </c>
      <c r="B4" s="131">
        <f>ROUND($A4*'調薪俸點'!$D$3,0)</f>
        <v>26676</v>
      </c>
      <c r="C4" s="3">
        <f aca="true" t="shared" si="0" ref="C4:C24">IF(ISERROR(VLOOKUP($B4,對照表,8,0))=FALSE,VLOOKUP($B4,對照表,8,0),VLOOKUP($B4,對照表,8,1)+1)</f>
        <v>2</v>
      </c>
      <c r="D4" s="124">
        <f aca="true" t="shared" si="1" ref="D4:D24">IF(C4&gt;上限級數,上限級距,VLOOKUP($C4,級數表,2,0))</f>
        <v>27600</v>
      </c>
      <c r="E4" s="124">
        <f aca="true" t="shared" si="2" ref="E4:E24">VLOOKUP($C4,級數表,4,0)+ROUND($D4*職災費率,0)+ROUND($D4*工墊費率,0)</f>
        <v>2372</v>
      </c>
      <c r="F4" s="124">
        <f aca="true" t="shared" si="3" ref="F4:F24">VLOOKUP($C4,級數表,2,0)</f>
        <v>27600</v>
      </c>
      <c r="G4" s="124">
        <f aca="true" t="shared" si="4" ref="G4:G24">VLOOKUP($C4,級數表,6,0)</f>
        <v>1344</v>
      </c>
      <c r="H4" s="4">
        <f>ROUNDUP((B4*1.5*二代健保費率)/12,0)</f>
        <v>71</v>
      </c>
      <c r="I4" s="124">
        <f aca="true" t="shared" si="5" ref="I4:I24">G4+H4</f>
        <v>1415</v>
      </c>
      <c r="J4" s="124">
        <f aca="true" t="shared" si="6" ref="J4:J24">E4+I4</f>
        <v>3787</v>
      </c>
      <c r="K4" s="124">
        <f>ROUND(F4*6%,0)</f>
        <v>1656</v>
      </c>
      <c r="L4" s="19"/>
      <c r="M4" s="19"/>
    </row>
    <row r="5" spans="1:13" ht="30" customHeight="1">
      <c r="A5" s="130">
        <v>220</v>
      </c>
      <c r="B5" s="131">
        <f>ROUND($A5*'調薪俸點'!$D$3,0)</f>
        <v>30888</v>
      </c>
      <c r="C5" s="3">
        <f t="shared" si="0"/>
        <v>5</v>
      </c>
      <c r="D5" s="124">
        <f t="shared" si="1"/>
        <v>31800</v>
      </c>
      <c r="E5" s="124">
        <f t="shared" si="2"/>
        <v>2734</v>
      </c>
      <c r="F5" s="124">
        <f t="shared" si="3"/>
        <v>31800</v>
      </c>
      <c r="G5" s="124">
        <f t="shared" si="4"/>
        <v>1549</v>
      </c>
      <c r="H5" s="4">
        <f aca="true" t="shared" si="7" ref="H5:H24">ROUNDUP((B5*1.5*二代健保費率)/12,0)</f>
        <v>82</v>
      </c>
      <c r="I5" s="124">
        <f t="shared" si="5"/>
        <v>1631</v>
      </c>
      <c r="J5" s="124">
        <f t="shared" si="6"/>
        <v>4365</v>
      </c>
      <c r="K5" s="124">
        <f aca="true" t="shared" si="8" ref="K5:K24">ROUND(F5*6%,0)</f>
        <v>1908</v>
      </c>
      <c r="L5" s="19"/>
      <c r="M5" s="19"/>
    </row>
    <row r="6" spans="1:13" ht="30" customHeight="1">
      <c r="A6" s="130">
        <v>250</v>
      </c>
      <c r="B6" s="131">
        <f>ROUND($A6*'調薪俸點'!$D$3,0)</f>
        <v>35100</v>
      </c>
      <c r="C6" s="3">
        <f t="shared" si="0"/>
        <v>8</v>
      </c>
      <c r="D6" s="124">
        <f t="shared" si="1"/>
        <v>36300</v>
      </c>
      <c r="E6" s="124">
        <f t="shared" si="2"/>
        <v>3120</v>
      </c>
      <c r="F6" s="124">
        <f t="shared" si="3"/>
        <v>36300</v>
      </c>
      <c r="G6" s="124">
        <f t="shared" si="4"/>
        <v>1768</v>
      </c>
      <c r="H6" s="4">
        <f t="shared" si="7"/>
        <v>93</v>
      </c>
      <c r="I6" s="124">
        <f t="shared" si="5"/>
        <v>1861</v>
      </c>
      <c r="J6" s="124">
        <f t="shared" si="6"/>
        <v>4981</v>
      </c>
      <c r="K6" s="124">
        <f t="shared" si="8"/>
        <v>2178</v>
      </c>
      <c r="L6" s="19"/>
      <c r="M6" s="19"/>
    </row>
    <row r="7" spans="1:13" ht="30" customHeight="1">
      <c r="A7" s="130">
        <v>260</v>
      </c>
      <c r="B7" s="131">
        <f>ROUND($A7*'調薪俸點'!$D$3,0)</f>
        <v>36504</v>
      </c>
      <c r="C7" s="3">
        <f t="shared" si="0"/>
        <v>9</v>
      </c>
      <c r="D7" s="124">
        <f t="shared" si="1"/>
        <v>38200</v>
      </c>
      <c r="E7" s="124">
        <f t="shared" si="2"/>
        <v>3283</v>
      </c>
      <c r="F7" s="124">
        <f t="shared" si="3"/>
        <v>38200</v>
      </c>
      <c r="G7" s="124">
        <f t="shared" si="4"/>
        <v>1860</v>
      </c>
      <c r="H7" s="4">
        <f>ROUNDUP((B7*1.5*二代健保費率)/12,0)</f>
        <v>97</v>
      </c>
      <c r="I7" s="124">
        <f>G7+H7</f>
        <v>1957</v>
      </c>
      <c r="J7" s="124">
        <f>E7+I7</f>
        <v>5240</v>
      </c>
      <c r="K7" s="124">
        <f>ROUND(F7*6%,0)</f>
        <v>2292</v>
      </c>
      <c r="L7" s="19"/>
      <c r="M7" s="19"/>
    </row>
    <row r="8" spans="1:13" ht="30" customHeight="1">
      <c r="A8" s="130">
        <v>270</v>
      </c>
      <c r="B8" s="131">
        <f>ROUND($A8*'調薪俸點'!$D$3,0)</f>
        <v>37908</v>
      </c>
      <c r="C8" s="3">
        <f t="shared" si="0"/>
        <v>9</v>
      </c>
      <c r="D8" s="124">
        <f t="shared" si="1"/>
        <v>38200</v>
      </c>
      <c r="E8" s="124">
        <f t="shared" si="2"/>
        <v>3283</v>
      </c>
      <c r="F8" s="124">
        <f t="shared" si="3"/>
        <v>38200</v>
      </c>
      <c r="G8" s="124">
        <f t="shared" si="4"/>
        <v>1860</v>
      </c>
      <c r="H8" s="4">
        <f>ROUNDUP((B8*1.5*二代健保費率)/12,0)</f>
        <v>100</v>
      </c>
      <c r="I8" s="124">
        <f>G8+H8</f>
        <v>1960</v>
      </c>
      <c r="J8" s="124">
        <f>E8+I8</f>
        <v>5243</v>
      </c>
      <c r="K8" s="124">
        <f>ROUND(F8*6%,0)</f>
        <v>2292</v>
      </c>
      <c r="L8" s="19"/>
      <c r="M8" s="19"/>
    </row>
    <row r="9" spans="1:13" ht="30" customHeight="1">
      <c r="A9" s="130">
        <v>280</v>
      </c>
      <c r="B9" s="131">
        <f>ROUND($A9*'調薪俸點'!$D$3,0)</f>
        <v>39312</v>
      </c>
      <c r="C9" s="3">
        <f t="shared" si="0"/>
        <v>10</v>
      </c>
      <c r="D9" s="124">
        <f t="shared" si="1"/>
        <v>40100</v>
      </c>
      <c r="E9" s="124">
        <f t="shared" si="2"/>
        <v>3447</v>
      </c>
      <c r="F9" s="124">
        <f t="shared" si="3"/>
        <v>40100</v>
      </c>
      <c r="G9" s="124">
        <f t="shared" si="4"/>
        <v>1953</v>
      </c>
      <c r="H9" s="4">
        <f t="shared" si="7"/>
        <v>104</v>
      </c>
      <c r="I9" s="124">
        <f t="shared" si="5"/>
        <v>2057</v>
      </c>
      <c r="J9" s="124">
        <f t="shared" si="6"/>
        <v>5504</v>
      </c>
      <c r="K9" s="124">
        <f t="shared" si="8"/>
        <v>2406</v>
      </c>
      <c r="L9" s="19"/>
      <c r="M9" s="19"/>
    </row>
    <row r="10" spans="1:13" ht="30" customHeight="1">
      <c r="A10" s="130">
        <v>290</v>
      </c>
      <c r="B10" s="131">
        <f>ROUND($A10*'調薪俸點'!$D$3,0)</f>
        <v>40716</v>
      </c>
      <c r="C10" s="3">
        <f t="shared" si="0"/>
        <v>11</v>
      </c>
      <c r="D10" s="124">
        <f t="shared" si="1"/>
        <v>42000</v>
      </c>
      <c r="E10" s="124">
        <f t="shared" si="2"/>
        <v>3610</v>
      </c>
      <c r="F10" s="124">
        <f t="shared" si="3"/>
        <v>42000</v>
      </c>
      <c r="G10" s="124">
        <f t="shared" si="4"/>
        <v>2045</v>
      </c>
      <c r="H10" s="4">
        <f>ROUNDUP((B10*1.5*二代健保費率)/12,0)</f>
        <v>108</v>
      </c>
      <c r="I10" s="124">
        <f>G10+H10</f>
        <v>2153</v>
      </c>
      <c r="J10" s="124">
        <f>E10+I10</f>
        <v>5763</v>
      </c>
      <c r="K10" s="124">
        <f>ROUND(F10*6%,0)</f>
        <v>2520</v>
      </c>
      <c r="L10" s="19"/>
      <c r="M10" s="19"/>
    </row>
    <row r="11" spans="1:13" ht="30" customHeight="1">
      <c r="A11" s="130">
        <v>296</v>
      </c>
      <c r="B11" s="131">
        <f>ROUND($A11*'調薪俸點'!$D$3,0)</f>
        <v>41558</v>
      </c>
      <c r="C11" s="3">
        <f t="shared" si="0"/>
        <v>11</v>
      </c>
      <c r="D11" s="124">
        <f t="shared" si="1"/>
        <v>42000</v>
      </c>
      <c r="E11" s="124">
        <f t="shared" si="2"/>
        <v>3610</v>
      </c>
      <c r="F11" s="124">
        <f t="shared" si="3"/>
        <v>42000</v>
      </c>
      <c r="G11" s="124">
        <f t="shared" si="4"/>
        <v>2045</v>
      </c>
      <c r="H11" s="4">
        <f t="shared" si="7"/>
        <v>110</v>
      </c>
      <c r="I11" s="124">
        <f t="shared" si="5"/>
        <v>2155</v>
      </c>
      <c r="J11" s="124">
        <f t="shared" si="6"/>
        <v>5765</v>
      </c>
      <c r="K11" s="124">
        <f t="shared" si="8"/>
        <v>2520</v>
      </c>
      <c r="L11" s="19"/>
      <c r="M11" s="19"/>
    </row>
    <row r="12" spans="1:13" ht="30" customHeight="1">
      <c r="A12" s="130">
        <v>300</v>
      </c>
      <c r="B12" s="131">
        <f>ROUND($A12*'調薪俸點'!$D$3,0)</f>
        <v>42120</v>
      </c>
      <c r="C12" s="3">
        <f t="shared" si="0"/>
        <v>12</v>
      </c>
      <c r="D12" s="124">
        <f t="shared" si="1"/>
        <v>43900</v>
      </c>
      <c r="E12" s="124">
        <f t="shared" si="2"/>
        <v>3773</v>
      </c>
      <c r="F12" s="124">
        <f t="shared" si="3"/>
        <v>43900</v>
      </c>
      <c r="G12" s="124">
        <f t="shared" si="4"/>
        <v>2138</v>
      </c>
      <c r="H12" s="4">
        <f>ROUNDUP((B12*1.5*二代健保費率)/12,0)</f>
        <v>112</v>
      </c>
      <c r="I12" s="124">
        <f>G12+H12</f>
        <v>2250</v>
      </c>
      <c r="J12" s="124">
        <f>E12+I12</f>
        <v>6023</v>
      </c>
      <c r="K12" s="124">
        <f>ROUND(F12*6%,0)</f>
        <v>2634</v>
      </c>
      <c r="L12" s="19"/>
      <c r="M12" s="19"/>
    </row>
    <row r="13" spans="1:13" ht="30" customHeight="1">
      <c r="A13" s="130">
        <v>310</v>
      </c>
      <c r="B13" s="131">
        <f>ROUND($A13*'調薪俸點'!$D$3,0)</f>
        <v>43524</v>
      </c>
      <c r="C13" s="3">
        <f t="shared" si="0"/>
        <v>12</v>
      </c>
      <c r="D13" s="124">
        <f t="shared" si="1"/>
        <v>43900</v>
      </c>
      <c r="E13" s="124">
        <f t="shared" si="2"/>
        <v>3773</v>
      </c>
      <c r="F13" s="124">
        <f t="shared" si="3"/>
        <v>43900</v>
      </c>
      <c r="G13" s="124">
        <f t="shared" si="4"/>
        <v>2138</v>
      </c>
      <c r="H13" s="4">
        <f>ROUNDUP((B13*1.5*二代健保費率)/12,0)</f>
        <v>115</v>
      </c>
      <c r="I13" s="124">
        <f>G13+H13</f>
        <v>2253</v>
      </c>
      <c r="J13" s="124">
        <f>E13+I13</f>
        <v>6026</v>
      </c>
      <c r="K13" s="124">
        <f>ROUND(F13*6%,0)</f>
        <v>2634</v>
      </c>
      <c r="L13" s="19"/>
      <c r="M13" s="19"/>
    </row>
    <row r="14" spans="1:13" ht="30" customHeight="1">
      <c r="A14" s="130">
        <v>312</v>
      </c>
      <c r="B14" s="131">
        <f>ROUND($A14*'調薪俸點'!$D$3,0)</f>
        <v>43805</v>
      </c>
      <c r="C14" s="3">
        <f t="shared" si="0"/>
        <v>12</v>
      </c>
      <c r="D14" s="124">
        <f t="shared" si="1"/>
        <v>43900</v>
      </c>
      <c r="E14" s="124">
        <f t="shared" si="2"/>
        <v>3773</v>
      </c>
      <c r="F14" s="124">
        <f t="shared" si="3"/>
        <v>43900</v>
      </c>
      <c r="G14" s="124">
        <f t="shared" si="4"/>
        <v>2138</v>
      </c>
      <c r="H14" s="4">
        <f t="shared" si="7"/>
        <v>116</v>
      </c>
      <c r="I14" s="124">
        <f t="shared" si="5"/>
        <v>2254</v>
      </c>
      <c r="J14" s="124">
        <f t="shared" si="6"/>
        <v>6027</v>
      </c>
      <c r="K14" s="124">
        <f t="shared" si="8"/>
        <v>2634</v>
      </c>
      <c r="L14" s="19"/>
      <c r="M14" s="19"/>
    </row>
    <row r="15" spans="1:13" ht="30" customHeight="1">
      <c r="A15" s="130">
        <v>320</v>
      </c>
      <c r="B15" s="131">
        <f>ROUND($A15*'調薪俸點'!$D$3,0)</f>
        <v>44928</v>
      </c>
      <c r="C15" s="3">
        <f t="shared" si="0"/>
        <v>13</v>
      </c>
      <c r="D15" s="124">
        <f t="shared" si="1"/>
        <v>45800</v>
      </c>
      <c r="E15" s="124">
        <f t="shared" si="2"/>
        <v>3937</v>
      </c>
      <c r="F15" s="124">
        <f t="shared" si="3"/>
        <v>45800</v>
      </c>
      <c r="G15" s="124">
        <f t="shared" si="4"/>
        <v>2231</v>
      </c>
      <c r="H15" s="4">
        <f>ROUNDUP((B15*1.5*二代健保費率)/12,0)</f>
        <v>119</v>
      </c>
      <c r="I15" s="124">
        <f>G15+H15</f>
        <v>2350</v>
      </c>
      <c r="J15" s="124">
        <f>E15+I15</f>
        <v>6287</v>
      </c>
      <c r="K15" s="124">
        <f>ROUND(F15*6%,0)</f>
        <v>2748</v>
      </c>
      <c r="L15" s="19"/>
      <c r="M15" s="19"/>
    </row>
    <row r="16" spans="1:13" ht="30" customHeight="1">
      <c r="A16" s="130">
        <v>328</v>
      </c>
      <c r="B16" s="131">
        <f>ROUND($A16*'調薪俸點'!$D$3,0)</f>
        <v>46051</v>
      </c>
      <c r="C16" s="3">
        <f t="shared" si="0"/>
        <v>14</v>
      </c>
      <c r="D16" s="124">
        <f t="shared" si="1"/>
        <v>45800</v>
      </c>
      <c r="E16" s="124">
        <f t="shared" si="2"/>
        <v>3937</v>
      </c>
      <c r="F16" s="124">
        <f t="shared" si="3"/>
        <v>48200</v>
      </c>
      <c r="G16" s="124">
        <f t="shared" si="4"/>
        <v>2347</v>
      </c>
      <c r="H16" s="4">
        <f t="shared" si="7"/>
        <v>122</v>
      </c>
      <c r="I16" s="124">
        <f t="shared" si="5"/>
        <v>2469</v>
      </c>
      <c r="J16" s="124">
        <f t="shared" si="6"/>
        <v>6406</v>
      </c>
      <c r="K16" s="124">
        <f t="shared" si="8"/>
        <v>2892</v>
      </c>
      <c r="L16" s="19"/>
      <c r="M16" s="19"/>
    </row>
    <row r="17" spans="1:13" ht="30" customHeight="1">
      <c r="A17" s="130">
        <v>330</v>
      </c>
      <c r="B17" s="131">
        <f>ROUND($A17*'調薪俸點'!$D$3,0)</f>
        <v>46332</v>
      </c>
      <c r="C17" s="3">
        <f t="shared" si="0"/>
        <v>14</v>
      </c>
      <c r="D17" s="124">
        <f t="shared" si="1"/>
        <v>45800</v>
      </c>
      <c r="E17" s="124">
        <f t="shared" si="2"/>
        <v>3937</v>
      </c>
      <c r="F17" s="124">
        <f t="shared" si="3"/>
        <v>48200</v>
      </c>
      <c r="G17" s="124">
        <f t="shared" si="4"/>
        <v>2347</v>
      </c>
      <c r="H17" s="4">
        <f>ROUNDUP((B17*1.5*二代健保費率)/12,0)</f>
        <v>123</v>
      </c>
      <c r="I17" s="124">
        <f>G17+H17</f>
        <v>2470</v>
      </c>
      <c r="J17" s="124">
        <f>E17+I17</f>
        <v>6407</v>
      </c>
      <c r="K17" s="124">
        <f>ROUND(F17*6%,0)</f>
        <v>2892</v>
      </c>
      <c r="L17" s="19"/>
      <c r="M17" s="19"/>
    </row>
    <row r="18" spans="1:13" ht="30" customHeight="1">
      <c r="A18" s="130">
        <v>344</v>
      </c>
      <c r="B18" s="131">
        <f>ROUND($A18*'調薪俸點'!$D$3,0)</f>
        <v>48298</v>
      </c>
      <c r="C18" s="3">
        <f t="shared" si="0"/>
        <v>15</v>
      </c>
      <c r="D18" s="124">
        <f t="shared" si="1"/>
        <v>45800</v>
      </c>
      <c r="E18" s="124">
        <f t="shared" si="2"/>
        <v>3937</v>
      </c>
      <c r="F18" s="124">
        <f t="shared" si="3"/>
        <v>50600</v>
      </c>
      <c r="G18" s="124">
        <f t="shared" si="4"/>
        <v>2464</v>
      </c>
      <c r="H18" s="4">
        <f t="shared" si="7"/>
        <v>128</v>
      </c>
      <c r="I18" s="124">
        <f t="shared" si="5"/>
        <v>2592</v>
      </c>
      <c r="J18" s="124">
        <f t="shared" si="6"/>
        <v>6529</v>
      </c>
      <c r="K18" s="124">
        <f t="shared" si="8"/>
        <v>3036</v>
      </c>
      <c r="L18" s="19"/>
      <c r="M18" s="19"/>
    </row>
    <row r="19" spans="1:13" ht="30" customHeight="1">
      <c r="A19" s="130">
        <v>360</v>
      </c>
      <c r="B19" s="131">
        <f>ROUND($A19*'調薪俸點'!$D$3,0)</f>
        <v>50544</v>
      </c>
      <c r="C19" s="3">
        <f t="shared" si="0"/>
        <v>15</v>
      </c>
      <c r="D19" s="124">
        <f t="shared" si="1"/>
        <v>45800</v>
      </c>
      <c r="E19" s="124">
        <f t="shared" si="2"/>
        <v>3937</v>
      </c>
      <c r="F19" s="124">
        <f t="shared" si="3"/>
        <v>50600</v>
      </c>
      <c r="G19" s="124">
        <f t="shared" si="4"/>
        <v>2464</v>
      </c>
      <c r="H19" s="4">
        <f t="shared" si="7"/>
        <v>134</v>
      </c>
      <c r="I19" s="124">
        <f t="shared" si="5"/>
        <v>2598</v>
      </c>
      <c r="J19" s="124">
        <f t="shared" si="6"/>
        <v>6535</v>
      </c>
      <c r="K19" s="124">
        <f t="shared" si="8"/>
        <v>3036</v>
      </c>
      <c r="L19" s="19"/>
      <c r="M19" s="19"/>
    </row>
    <row r="20" spans="1:13" ht="30" customHeight="1">
      <c r="A20" s="130">
        <v>376</v>
      </c>
      <c r="B20" s="131">
        <f>ROUND($A20*'調薪俸點'!$D$3,0)</f>
        <v>52790</v>
      </c>
      <c r="C20" s="3">
        <f t="shared" si="0"/>
        <v>16</v>
      </c>
      <c r="D20" s="124">
        <f t="shared" si="1"/>
        <v>45800</v>
      </c>
      <c r="E20" s="124">
        <f t="shared" si="2"/>
        <v>3937</v>
      </c>
      <c r="F20" s="124">
        <f t="shared" si="3"/>
        <v>53000</v>
      </c>
      <c r="G20" s="124">
        <f t="shared" si="4"/>
        <v>2581</v>
      </c>
      <c r="H20" s="4">
        <f t="shared" si="7"/>
        <v>140</v>
      </c>
      <c r="I20" s="124">
        <f t="shared" si="5"/>
        <v>2721</v>
      </c>
      <c r="J20" s="124">
        <f t="shared" si="6"/>
        <v>6658</v>
      </c>
      <c r="K20" s="124">
        <f t="shared" si="8"/>
        <v>3180</v>
      </c>
      <c r="L20" s="19"/>
      <c r="M20" s="19"/>
    </row>
    <row r="21" spans="1:13" ht="30" customHeight="1">
      <c r="A21" s="130">
        <v>392</v>
      </c>
      <c r="B21" s="131">
        <f>ROUND($A21*'調薪俸點'!$D$3,0)</f>
        <v>55037</v>
      </c>
      <c r="C21" s="3">
        <f t="shared" si="0"/>
        <v>17</v>
      </c>
      <c r="D21" s="124">
        <f t="shared" si="1"/>
        <v>45800</v>
      </c>
      <c r="E21" s="124">
        <f t="shared" si="2"/>
        <v>3937</v>
      </c>
      <c r="F21" s="124">
        <f t="shared" si="3"/>
        <v>55400</v>
      </c>
      <c r="G21" s="124">
        <f t="shared" si="4"/>
        <v>2698</v>
      </c>
      <c r="H21" s="4">
        <f t="shared" si="7"/>
        <v>146</v>
      </c>
      <c r="I21" s="124">
        <f t="shared" si="5"/>
        <v>2844</v>
      </c>
      <c r="J21" s="124">
        <f t="shared" si="6"/>
        <v>6781</v>
      </c>
      <c r="K21" s="124">
        <f t="shared" si="8"/>
        <v>3324</v>
      </c>
      <c r="L21" s="19"/>
      <c r="M21" s="19"/>
    </row>
    <row r="22" spans="1:13" ht="30" customHeight="1">
      <c r="A22" s="130">
        <v>408</v>
      </c>
      <c r="B22" s="131">
        <f>ROUND($A22*'調薪俸點'!$D$3,0)</f>
        <v>57283</v>
      </c>
      <c r="C22" s="3">
        <f t="shared" si="0"/>
        <v>18</v>
      </c>
      <c r="D22" s="124">
        <f t="shared" si="1"/>
        <v>45800</v>
      </c>
      <c r="E22" s="124">
        <f t="shared" si="2"/>
        <v>3937</v>
      </c>
      <c r="F22" s="124">
        <f t="shared" si="3"/>
        <v>57800</v>
      </c>
      <c r="G22" s="124">
        <f t="shared" si="4"/>
        <v>2815</v>
      </c>
      <c r="H22" s="4">
        <f t="shared" si="7"/>
        <v>152</v>
      </c>
      <c r="I22" s="124">
        <f t="shared" si="5"/>
        <v>2967</v>
      </c>
      <c r="J22" s="124">
        <f t="shared" si="6"/>
        <v>6904</v>
      </c>
      <c r="K22" s="124">
        <f t="shared" si="8"/>
        <v>3468</v>
      </c>
      <c r="L22" s="19"/>
      <c r="M22" s="19"/>
    </row>
    <row r="23" spans="1:13" ht="30" customHeight="1">
      <c r="A23" s="130">
        <v>424</v>
      </c>
      <c r="B23" s="131">
        <f>ROUND($A23*'調薪俸點'!$D$3,0)</f>
        <v>59530</v>
      </c>
      <c r="C23" s="3">
        <f t="shared" si="0"/>
        <v>19</v>
      </c>
      <c r="D23" s="124">
        <f t="shared" si="1"/>
        <v>45800</v>
      </c>
      <c r="E23" s="124">
        <f t="shared" si="2"/>
        <v>3937</v>
      </c>
      <c r="F23" s="124">
        <f t="shared" si="3"/>
        <v>60800</v>
      </c>
      <c r="G23" s="124">
        <f t="shared" si="4"/>
        <v>2961</v>
      </c>
      <c r="H23" s="4">
        <f t="shared" si="7"/>
        <v>158</v>
      </c>
      <c r="I23" s="124">
        <f t="shared" si="5"/>
        <v>3119</v>
      </c>
      <c r="J23" s="124">
        <f t="shared" si="6"/>
        <v>7056</v>
      </c>
      <c r="K23" s="124">
        <f t="shared" si="8"/>
        <v>3648</v>
      </c>
      <c r="L23" s="19"/>
      <c r="M23" s="19"/>
    </row>
    <row r="24" spans="1:13" ht="27.75" customHeight="1">
      <c r="A24" s="130">
        <v>440</v>
      </c>
      <c r="B24" s="131">
        <f>ROUND($A24*'調薪俸點'!$D$3,0)</f>
        <v>61776</v>
      </c>
      <c r="C24" s="3">
        <f t="shared" si="0"/>
        <v>20</v>
      </c>
      <c r="D24" s="124">
        <f t="shared" si="1"/>
        <v>45800</v>
      </c>
      <c r="E24" s="124">
        <f t="shared" si="2"/>
        <v>3937</v>
      </c>
      <c r="F24" s="124">
        <f t="shared" si="3"/>
        <v>63800</v>
      </c>
      <c r="G24" s="124">
        <f t="shared" si="4"/>
        <v>3107</v>
      </c>
      <c r="H24" s="4">
        <f t="shared" si="7"/>
        <v>163</v>
      </c>
      <c r="I24" s="124">
        <f t="shared" si="5"/>
        <v>3270</v>
      </c>
      <c r="J24" s="124">
        <f t="shared" si="6"/>
        <v>7207</v>
      </c>
      <c r="K24" s="124">
        <f t="shared" si="8"/>
        <v>3828</v>
      </c>
      <c r="L24" s="19"/>
      <c r="M24" s="19"/>
    </row>
    <row r="25" spans="1:13" ht="21.75" customHeight="1">
      <c r="A25" s="132"/>
      <c r="B25" s="133"/>
      <c r="C25" s="133"/>
      <c r="D25" s="133"/>
      <c r="E25" s="134"/>
      <c r="F25" s="133"/>
      <c r="G25" s="133"/>
      <c r="H25" s="133"/>
      <c r="I25" s="133"/>
      <c r="J25" s="133"/>
      <c r="K25" s="133"/>
      <c r="L25" s="19"/>
      <c r="M25" s="19"/>
    </row>
  </sheetData>
  <sheetProtection/>
  <printOptions horizontalCentered="1"/>
  <pageMargins left="0" right="0" top="0.3937007874015748" bottom="0.3937007874015748" header="0" footer="0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M24"/>
  <sheetViews>
    <sheetView zoomScalePageLayoutView="0" workbookViewId="0" topLeftCell="A4">
      <selection activeCell="A31" sqref="A31"/>
    </sheetView>
  </sheetViews>
  <sheetFormatPr defaultColWidth="9.00390625" defaultRowHeight="16.5"/>
  <cols>
    <col min="1" max="1" width="9.00390625" style="15" customWidth="1"/>
    <col min="2" max="2" width="10.375" style="15" customWidth="1"/>
    <col min="3" max="3" width="7.125" style="15" hidden="1" customWidth="1"/>
    <col min="4" max="4" width="11.75390625" style="15" customWidth="1"/>
    <col min="5" max="5" width="9.00390625" style="15" customWidth="1"/>
    <col min="6" max="6" width="11.375" style="15" customWidth="1"/>
    <col min="7" max="7" width="9.50390625" style="15" customWidth="1"/>
    <col min="8" max="8" width="8.625" style="15" customWidth="1"/>
    <col min="9" max="10" width="10.625" style="15" customWidth="1"/>
    <col min="11" max="11" width="10.50390625" style="15" bestFit="1" customWidth="1"/>
    <col min="12" max="12" width="7.00390625" style="15" customWidth="1"/>
    <col min="13" max="16384" width="9.00390625" style="15" customWidth="1"/>
  </cols>
  <sheetData>
    <row r="1" spans="1:11" ht="30" customHeight="1">
      <c r="A1" s="13" t="s">
        <v>170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>
      <c r="A2" s="16" t="s">
        <v>35</v>
      </c>
      <c r="K2" s="17" t="s">
        <v>1</v>
      </c>
    </row>
    <row r="3" spans="1:12" ht="51" customHeight="1">
      <c r="A3" s="128" t="s">
        <v>0</v>
      </c>
      <c r="B3" s="129" t="s">
        <v>171</v>
      </c>
      <c r="C3" s="129" t="s">
        <v>11</v>
      </c>
      <c r="D3" s="129" t="s">
        <v>8</v>
      </c>
      <c r="E3" s="129" t="s">
        <v>2</v>
      </c>
      <c r="F3" s="129" t="s">
        <v>9</v>
      </c>
      <c r="G3" s="129" t="s">
        <v>36</v>
      </c>
      <c r="H3" s="129" t="s">
        <v>13</v>
      </c>
      <c r="I3" s="129" t="s">
        <v>5</v>
      </c>
      <c r="J3" s="129" t="s">
        <v>4</v>
      </c>
      <c r="K3" s="129" t="s">
        <v>14</v>
      </c>
      <c r="L3" s="18"/>
    </row>
    <row r="4" spans="1:13" ht="30" customHeight="1">
      <c r="A4" s="130">
        <v>190</v>
      </c>
      <c r="B4" s="131">
        <f>ROUND($A4*'調薪俸點'!$D$4,0)</f>
        <v>27379</v>
      </c>
      <c r="C4" s="3">
        <f aca="true" t="shared" si="0" ref="C4:C23">IF(ISERROR(VLOOKUP($B4,對照表,8,0))=FALSE,VLOOKUP($B4,對照表,8,0),VLOOKUP($B4,對照表,8,1)+1)</f>
        <v>2</v>
      </c>
      <c r="D4" s="124">
        <f aca="true" t="shared" si="1" ref="D4:D23">IF(C4&gt;上限級數,上限級距,VLOOKUP($C4,級數表,2,0))</f>
        <v>27600</v>
      </c>
      <c r="E4" s="124">
        <f aca="true" t="shared" si="2" ref="E4:E23">VLOOKUP($C4,級數表,4,0)+ROUND($D4*職災費率,0)+ROUND($D4*工墊費率,0)</f>
        <v>2372</v>
      </c>
      <c r="F4" s="124">
        <f aca="true" t="shared" si="3" ref="F4:F23">VLOOKUP($C4,級數表,2,0)</f>
        <v>27600</v>
      </c>
      <c r="G4" s="124">
        <f aca="true" t="shared" si="4" ref="G4:G23">VLOOKUP($C4,級數表,6,0)</f>
        <v>1344</v>
      </c>
      <c r="H4" s="4">
        <f aca="true" t="shared" si="5" ref="H4:H23">ROUNDUP((B4*1.5*二代健保費率)/12,0)</f>
        <v>73</v>
      </c>
      <c r="I4" s="124">
        <f aca="true" t="shared" si="6" ref="I4:I23">G4+H4</f>
        <v>1417</v>
      </c>
      <c r="J4" s="124">
        <f aca="true" t="shared" si="7" ref="J4:J23">E4+I4</f>
        <v>3789</v>
      </c>
      <c r="K4" s="124">
        <f aca="true" t="shared" si="8" ref="K4:K23">ROUND(F4*6%,0)</f>
        <v>1656</v>
      </c>
      <c r="L4" s="19"/>
      <c r="M4" s="19"/>
    </row>
    <row r="5" spans="1:13" ht="30" customHeight="1">
      <c r="A5" s="130">
        <v>220</v>
      </c>
      <c r="B5" s="131">
        <f>ROUND($A5*'調薪俸點'!$D$4,0)</f>
        <v>31702</v>
      </c>
      <c r="C5" s="3">
        <f t="shared" si="0"/>
        <v>5</v>
      </c>
      <c r="D5" s="124">
        <f t="shared" si="1"/>
        <v>31800</v>
      </c>
      <c r="E5" s="124">
        <f t="shared" si="2"/>
        <v>2734</v>
      </c>
      <c r="F5" s="124">
        <f t="shared" si="3"/>
        <v>31800</v>
      </c>
      <c r="G5" s="124">
        <f t="shared" si="4"/>
        <v>1549</v>
      </c>
      <c r="H5" s="4">
        <f t="shared" si="5"/>
        <v>84</v>
      </c>
      <c r="I5" s="124">
        <f t="shared" si="6"/>
        <v>1633</v>
      </c>
      <c r="J5" s="124">
        <f t="shared" si="7"/>
        <v>4367</v>
      </c>
      <c r="K5" s="124">
        <f t="shared" si="8"/>
        <v>1908</v>
      </c>
      <c r="L5" s="19"/>
      <c r="M5" s="19"/>
    </row>
    <row r="6" spans="1:13" ht="30" customHeight="1">
      <c r="A6" s="130">
        <v>250</v>
      </c>
      <c r="B6" s="131">
        <f>ROUND($A6*'調薪俸點'!$D$4,0)</f>
        <v>36025</v>
      </c>
      <c r="C6" s="3">
        <f t="shared" si="0"/>
        <v>8</v>
      </c>
      <c r="D6" s="124">
        <f t="shared" si="1"/>
        <v>36300</v>
      </c>
      <c r="E6" s="124">
        <f t="shared" si="2"/>
        <v>3120</v>
      </c>
      <c r="F6" s="124">
        <f t="shared" si="3"/>
        <v>36300</v>
      </c>
      <c r="G6" s="124">
        <f t="shared" si="4"/>
        <v>1768</v>
      </c>
      <c r="H6" s="4">
        <f t="shared" si="5"/>
        <v>96</v>
      </c>
      <c r="I6" s="124">
        <f t="shared" si="6"/>
        <v>1864</v>
      </c>
      <c r="J6" s="124">
        <f t="shared" si="7"/>
        <v>4984</v>
      </c>
      <c r="K6" s="124">
        <f t="shared" si="8"/>
        <v>2178</v>
      </c>
      <c r="L6" s="19"/>
      <c r="M6" s="19"/>
    </row>
    <row r="7" spans="1:13" ht="30" customHeight="1">
      <c r="A7" s="130">
        <v>280</v>
      </c>
      <c r="B7" s="131">
        <f>ROUND($A7*'調薪俸點'!$D$4,0)</f>
        <v>40348</v>
      </c>
      <c r="C7" s="3">
        <f t="shared" si="0"/>
        <v>11</v>
      </c>
      <c r="D7" s="124">
        <f t="shared" si="1"/>
        <v>42000</v>
      </c>
      <c r="E7" s="124">
        <f t="shared" si="2"/>
        <v>3610</v>
      </c>
      <c r="F7" s="124">
        <f t="shared" si="3"/>
        <v>42000</v>
      </c>
      <c r="G7" s="124">
        <f t="shared" si="4"/>
        <v>2045</v>
      </c>
      <c r="H7" s="4">
        <f t="shared" si="5"/>
        <v>107</v>
      </c>
      <c r="I7" s="124">
        <f t="shared" si="6"/>
        <v>2152</v>
      </c>
      <c r="J7" s="124">
        <f t="shared" si="7"/>
        <v>5762</v>
      </c>
      <c r="K7" s="124">
        <f t="shared" si="8"/>
        <v>2520</v>
      </c>
      <c r="L7" s="19"/>
      <c r="M7" s="19"/>
    </row>
    <row r="8" spans="1:13" ht="30" customHeight="1">
      <c r="A8" s="130">
        <v>296</v>
      </c>
      <c r="B8" s="131">
        <f>ROUND($A8*'調薪俸點'!$D$4,0)</f>
        <v>42654</v>
      </c>
      <c r="C8" s="3">
        <f t="shared" si="0"/>
        <v>12</v>
      </c>
      <c r="D8" s="124">
        <f t="shared" si="1"/>
        <v>43900</v>
      </c>
      <c r="E8" s="124">
        <f t="shared" si="2"/>
        <v>3773</v>
      </c>
      <c r="F8" s="124">
        <f t="shared" si="3"/>
        <v>43900</v>
      </c>
      <c r="G8" s="124">
        <f t="shared" si="4"/>
        <v>2138</v>
      </c>
      <c r="H8" s="4">
        <f t="shared" si="5"/>
        <v>113</v>
      </c>
      <c r="I8" s="124">
        <f t="shared" si="6"/>
        <v>2251</v>
      </c>
      <c r="J8" s="124">
        <f t="shared" si="7"/>
        <v>6024</v>
      </c>
      <c r="K8" s="124">
        <f t="shared" si="8"/>
        <v>2634</v>
      </c>
      <c r="L8" s="19"/>
      <c r="M8" s="19"/>
    </row>
    <row r="9" spans="1:13" ht="30" customHeight="1">
      <c r="A9" s="130">
        <v>300</v>
      </c>
      <c r="B9" s="131">
        <f>ROUND($A9*'調薪俸點'!$D$4,0)</f>
        <v>43230</v>
      </c>
      <c r="C9" s="3">
        <f t="shared" si="0"/>
        <v>12</v>
      </c>
      <c r="D9" s="124">
        <f t="shared" si="1"/>
        <v>43900</v>
      </c>
      <c r="E9" s="124">
        <f t="shared" si="2"/>
        <v>3773</v>
      </c>
      <c r="F9" s="124">
        <f t="shared" si="3"/>
        <v>43900</v>
      </c>
      <c r="G9" s="124">
        <f t="shared" si="4"/>
        <v>2138</v>
      </c>
      <c r="H9" s="4">
        <f>ROUNDUP((B9*1.5*二代健保費率)/12,0)</f>
        <v>115</v>
      </c>
      <c r="I9" s="124">
        <f>G9+H9</f>
        <v>2253</v>
      </c>
      <c r="J9" s="124">
        <f>E9+I9</f>
        <v>6026</v>
      </c>
      <c r="K9" s="124">
        <f>ROUND(F9*6%,0)</f>
        <v>2634</v>
      </c>
      <c r="L9" s="19"/>
      <c r="M9" s="19"/>
    </row>
    <row r="10" spans="1:13" ht="30" customHeight="1">
      <c r="A10" s="130">
        <v>310</v>
      </c>
      <c r="B10" s="131">
        <f>ROUND($A10*'調薪俸點'!$D$4,0)</f>
        <v>44671</v>
      </c>
      <c r="C10" s="3">
        <f t="shared" si="0"/>
        <v>13</v>
      </c>
      <c r="D10" s="124">
        <f t="shared" si="1"/>
        <v>45800</v>
      </c>
      <c r="E10" s="124">
        <f t="shared" si="2"/>
        <v>3937</v>
      </c>
      <c r="F10" s="124">
        <f t="shared" si="3"/>
        <v>45800</v>
      </c>
      <c r="G10" s="124">
        <f t="shared" si="4"/>
        <v>2231</v>
      </c>
      <c r="H10" s="4">
        <f>ROUNDUP((B10*1.5*二代健保費率)/12,0)</f>
        <v>118</v>
      </c>
      <c r="I10" s="124">
        <f>G10+H10</f>
        <v>2349</v>
      </c>
      <c r="J10" s="124">
        <f>E10+I10</f>
        <v>6286</v>
      </c>
      <c r="K10" s="124">
        <f>ROUND(F10*6%,0)</f>
        <v>2748</v>
      </c>
      <c r="L10" s="19"/>
      <c r="M10" s="19"/>
    </row>
    <row r="11" spans="1:13" ht="30" customHeight="1">
      <c r="A11" s="130">
        <v>312</v>
      </c>
      <c r="B11" s="131">
        <f>ROUND($A11*'調薪俸點'!$D$4,0)</f>
        <v>44959</v>
      </c>
      <c r="C11" s="3">
        <f t="shared" si="0"/>
        <v>13</v>
      </c>
      <c r="D11" s="124">
        <f t="shared" si="1"/>
        <v>45800</v>
      </c>
      <c r="E11" s="124">
        <f t="shared" si="2"/>
        <v>3937</v>
      </c>
      <c r="F11" s="124">
        <f t="shared" si="3"/>
        <v>45800</v>
      </c>
      <c r="G11" s="124">
        <f t="shared" si="4"/>
        <v>2231</v>
      </c>
      <c r="H11" s="4">
        <f t="shared" si="5"/>
        <v>119</v>
      </c>
      <c r="I11" s="124">
        <f t="shared" si="6"/>
        <v>2350</v>
      </c>
      <c r="J11" s="124">
        <f t="shared" si="7"/>
        <v>6287</v>
      </c>
      <c r="K11" s="124">
        <f t="shared" si="8"/>
        <v>2748</v>
      </c>
      <c r="L11" s="19"/>
      <c r="M11" s="19"/>
    </row>
    <row r="12" spans="1:13" ht="30" customHeight="1">
      <c r="A12" s="130">
        <v>320</v>
      </c>
      <c r="B12" s="131">
        <f>ROUND($A12*'調薪俸點'!$D$4,0)</f>
        <v>46112</v>
      </c>
      <c r="C12" s="3">
        <f t="shared" si="0"/>
        <v>14</v>
      </c>
      <c r="D12" s="124">
        <f t="shared" si="1"/>
        <v>45800</v>
      </c>
      <c r="E12" s="124">
        <f t="shared" si="2"/>
        <v>3937</v>
      </c>
      <c r="F12" s="124">
        <f t="shared" si="3"/>
        <v>48200</v>
      </c>
      <c r="G12" s="124">
        <f t="shared" si="4"/>
        <v>2347</v>
      </c>
      <c r="H12" s="4">
        <f>ROUNDUP((B12*1.5*二代健保費率)/12,0)</f>
        <v>122</v>
      </c>
      <c r="I12" s="124">
        <f>G12+H12</f>
        <v>2469</v>
      </c>
      <c r="J12" s="124">
        <f>E12+I12</f>
        <v>6406</v>
      </c>
      <c r="K12" s="124">
        <f>ROUND(F12*6%,0)</f>
        <v>2892</v>
      </c>
      <c r="L12" s="19"/>
      <c r="M12" s="19"/>
    </row>
    <row r="13" spans="1:13" ht="30" customHeight="1">
      <c r="A13" s="130">
        <v>328</v>
      </c>
      <c r="B13" s="131">
        <f>ROUND($A13*'調薪俸點'!$D$4,0)</f>
        <v>47265</v>
      </c>
      <c r="C13" s="3">
        <f t="shared" si="0"/>
        <v>14</v>
      </c>
      <c r="D13" s="124">
        <f t="shared" si="1"/>
        <v>45800</v>
      </c>
      <c r="E13" s="124">
        <f t="shared" si="2"/>
        <v>3937</v>
      </c>
      <c r="F13" s="124">
        <f t="shared" si="3"/>
        <v>48200</v>
      </c>
      <c r="G13" s="124">
        <f t="shared" si="4"/>
        <v>2347</v>
      </c>
      <c r="H13" s="4">
        <f t="shared" si="5"/>
        <v>125</v>
      </c>
      <c r="I13" s="124">
        <f t="shared" si="6"/>
        <v>2472</v>
      </c>
      <c r="J13" s="124">
        <f t="shared" si="7"/>
        <v>6409</v>
      </c>
      <c r="K13" s="124">
        <f t="shared" si="8"/>
        <v>2892</v>
      </c>
      <c r="L13" s="19"/>
      <c r="M13" s="19"/>
    </row>
    <row r="14" spans="1:13" ht="30" customHeight="1">
      <c r="A14" s="130">
        <v>330</v>
      </c>
      <c r="B14" s="131">
        <f>ROUND($A14*'調薪俸點'!$D$4,0)</f>
        <v>47553</v>
      </c>
      <c r="C14" s="3">
        <f t="shared" si="0"/>
        <v>14</v>
      </c>
      <c r="D14" s="124">
        <f t="shared" si="1"/>
        <v>45800</v>
      </c>
      <c r="E14" s="124">
        <f t="shared" si="2"/>
        <v>3937</v>
      </c>
      <c r="F14" s="124">
        <f t="shared" si="3"/>
        <v>48200</v>
      </c>
      <c r="G14" s="124">
        <f t="shared" si="4"/>
        <v>2347</v>
      </c>
      <c r="H14" s="4">
        <f>ROUNDUP((B14*1.5*二代健保費率)/12,0)</f>
        <v>126</v>
      </c>
      <c r="I14" s="124">
        <f>G14+H14</f>
        <v>2473</v>
      </c>
      <c r="J14" s="124">
        <f>E14+I14</f>
        <v>6410</v>
      </c>
      <c r="K14" s="124">
        <f>ROUND(F14*6%,0)</f>
        <v>2892</v>
      </c>
      <c r="L14" s="19"/>
      <c r="M14" s="19"/>
    </row>
    <row r="15" spans="1:13" ht="30" customHeight="1">
      <c r="A15" s="130">
        <v>344</v>
      </c>
      <c r="B15" s="131">
        <f>ROUND($A15*'調薪俸點'!$D$4,0)</f>
        <v>49570</v>
      </c>
      <c r="C15" s="3">
        <f t="shared" si="0"/>
        <v>15</v>
      </c>
      <c r="D15" s="124">
        <f t="shared" si="1"/>
        <v>45800</v>
      </c>
      <c r="E15" s="124">
        <f t="shared" si="2"/>
        <v>3937</v>
      </c>
      <c r="F15" s="124">
        <f t="shared" si="3"/>
        <v>50600</v>
      </c>
      <c r="G15" s="124">
        <f t="shared" si="4"/>
        <v>2464</v>
      </c>
      <c r="H15" s="4">
        <f t="shared" si="5"/>
        <v>131</v>
      </c>
      <c r="I15" s="124">
        <f t="shared" si="6"/>
        <v>2595</v>
      </c>
      <c r="J15" s="124">
        <f t="shared" si="7"/>
        <v>6532</v>
      </c>
      <c r="K15" s="124">
        <f t="shared" si="8"/>
        <v>3036</v>
      </c>
      <c r="L15" s="19"/>
      <c r="M15" s="19"/>
    </row>
    <row r="16" spans="1:13" ht="30" customHeight="1">
      <c r="A16" s="130">
        <v>360</v>
      </c>
      <c r="B16" s="131">
        <f>ROUND($A16*'調薪俸點'!$D$4,0)</f>
        <v>51876</v>
      </c>
      <c r="C16" s="3">
        <f t="shared" si="0"/>
        <v>16</v>
      </c>
      <c r="D16" s="124">
        <f t="shared" si="1"/>
        <v>45800</v>
      </c>
      <c r="E16" s="124">
        <f t="shared" si="2"/>
        <v>3937</v>
      </c>
      <c r="F16" s="124">
        <f t="shared" si="3"/>
        <v>53000</v>
      </c>
      <c r="G16" s="124">
        <f t="shared" si="4"/>
        <v>2581</v>
      </c>
      <c r="H16" s="4">
        <f t="shared" si="5"/>
        <v>137</v>
      </c>
      <c r="I16" s="124">
        <f t="shared" si="6"/>
        <v>2718</v>
      </c>
      <c r="J16" s="124">
        <f t="shared" si="7"/>
        <v>6655</v>
      </c>
      <c r="K16" s="124">
        <f t="shared" si="8"/>
        <v>3180</v>
      </c>
      <c r="L16" s="19"/>
      <c r="M16" s="19"/>
    </row>
    <row r="17" spans="1:13" ht="30" customHeight="1">
      <c r="A17" s="130">
        <v>376</v>
      </c>
      <c r="B17" s="131">
        <f>ROUND($A17*'調薪俸點'!$D$4,0)</f>
        <v>54182</v>
      </c>
      <c r="C17" s="3">
        <f t="shared" si="0"/>
        <v>17</v>
      </c>
      <c r="D17" s="124">
        <f t="shared" si="1"/>
        <v>45800</v>
      </c>
      <c r="E17" s="124">
        <f t="shared" si="2"/>
        <v>3937</v>
      </c>
      <c r="F17" s="124">
        <f t="shared" si="3"/>
        <v>55400</v>
      </c>
      <c r="G17" s="124">
        <f t="shared" si="4"/>
        <v>2698</v>
      </c>
      <c r="H17" s="4">
        <f t="shared" si="5"/>
        <v>143</v>
      </c>
      <c r="I17" s="124">
        <f t="shared" si="6"/>
        <v>2841</v>
      </c>
      <c r="J17" s="124">
        <f t="shared" si="7"/>
        <v>6778</v>
      </c>
      <c r="K17" s="124">
        <f t="shared" si="8"/>
        <v>3324</v>
      </c>
      <c r="L17" s="19"/>
      <c r="M17" s="19"/>
    </row>
    <row r="18" spans="1:13" ht="30" customHeight="1">
      <c r="A18" s="130">
        <v>392</v>
      </c>
      <c r="B18" s="131">
        <f>ROUND($A18*'調薪俸點'!$D$4,0)</f>
        <v>56487</v>
      </c>
      <c r="C18" s="3">
        <f t="shared" si="0"/>
        <v>18</v>
      </c>
      <c r="D18" s="124">
        <f t="shared" si="1"/>
        <v>45800</v>
      </c>
      <c r="E18" s="124">
        <f t="shared" si="2"/>
        <v>3937</v>
      </c>
      <c r="F18" s="124">
        <f t="shared" si="3"/>
        <v>57800</v>
      </c>
      <c r="G18" s="124">
        <f t="shared" si="4"/>
        <v>2815</v>
      </c>
      <c r="H18" s="4">
        <f t="shared" si="5"/>
        <v>149</v>
      </c>
      <c r="I18" s="124">
        <f t="shared" si="6"/>
        <v>2964</v>
      </c>
      <c r="J18" s="124">
        <f t="shared" si="7"/>
        <v>6901</v>
      </c>
      <c r="K18" s="124">
        <f t="shared" si="8"/>
        <v>3468</v>
      </c>
      <c r="L18" s="19"/>
      <c r="M18" s="19"/>
    </row>
    <row r="19" spans="1:13" ht="30" customHeight="1">
      <c r="A19" s="130">
        <v>408</v>
      </c>
      <c r="B19" s="131">
        <f>ROUND($A19*'調薪俸點'!$D$4,0)</f>
        <v>58793</v>
      </c>
      <c r="C19" s="3">
        <f t="shared" si="0"/>
        <v>19</v>
      </c>
      <c r="D19" s="124">
        <f t="shared" si="1"/>
        <v>45800</v>
      </c>
      <c r="E19" s="124">
        <f t="shared" si="2"/>
        <v>3937</v>
      </c>
      <c r="F19" s="124">
        <f t="shared" si="3"/>
        <v>60800</v>
      </c>
      <c r="G19" s="124">
        <f t="shared" si="4"/>
        <v>2961</v>
      </c>
      <c r="H19" s="4">
        <f t="shared" si="5"/>
        <v>156</v>
      </c>
      <c r="I19" s="124">
        <f t="shared" si="6"/>
        <v>3117</v>
      </c>
      <c r="J19" s="124">
        <f t="shared" si="7"/>
        <v>7054</v>
      </c>
      <c r="K19" s="124">
        <f t="shared" si="8"/>
        <v>3648</v>
      </c>
      <c r="L19" s="19"/>
      <c r="M19" s="19"/>
    </row>
    <row r="20" spans="1:13" ht="30" customHeight="1">
      <c r="A20" s="130">
        <v>424</v>
      </c>
      <c r="B20" s="131">
        <f>ROUND($A20*'調薪俸點'!$D$4,0)</f>
        <v>61098</v>
      </c>
      <c r="C20" s="3">
        <f t="shared" si="0"/>
        <v>20</v>
      </c>
      <c r="D20" s="124">
        <f t="shared" si="1"/>
        <v>45800</v>
      </c>
      <c r="E20" s="124">
        <f t="shared" si="2"/>
        <v>3937</v>
      </c>
      <c r="F20" s="124">
        <f t="shared" si="3"/>
        <v>63800</v>
      </c>
      <c r="G20" s="124">
        <f t="shared" si="4"/>
        <v>3107</v>
      </c>
      <c r="H20" s="4">
        <f t="shared" si="5"/>
        <v>162</v>
      </c>
      <c r="I20" s="124">
        <f t="shared" si="6"/>
        <v>3269</v>
      </c>
      <c r="J20" s="124">
        <f t="shared" si="7"/>
        <v>7206</v>
      </c>
      <c r="K20" s="124">
        <f t="shared" si="8"/>
        <v>3828</v>
      </c>
      <c r="L20" s="19"/>
      <c r="M20" s="19"/>
    </row>
    <row r="21" spans="1:13" ht="30" customHeight="1">
      <c r="A21" s="130">
        <v>440</v>
      </c>
      <c r="B21" s="131">
        <f>ROUND($A21*'調薪俸點'!$D$4,0)</f>
        <v>63404</v>
      </c>
      <c r="C21" s="3">
        <f t="shared" si="0"/>
        <v>20</v>
      </c>
      <c r="D21" s="124">
        <f t="shared" si="1"/>
        <v>45800</v>
      </c>
      <c r="E21" s="124">
        <f t="shared" si="2"/>
        <v>3937</v>
      </c>
      <c r="F21" s="124">
        <f t="shared" si="3"/>
        <v>63800</v>
      </c>
      <c r="G21" s="124">
        <f t="shared" si="4"/>
        <v>3107</v>
      </c>
      <c r="H21" s="4">
        <f t="shared" si="5"/>
        <v>168</v>
      </c>
      <c r="I21" s="124">
        <f t="shared" si="6"/>
        <v>3275</v>
      </c>
      <c r="J21" s="124">
        <f t="shared" si="7"/>
        <v>7212</v>
      </c>
      <c r="K21" s="124">
        <f t="shared" si="8"/>
        <v>3828</v>
      </c>
      <c r="L21" s="19"/>
      <c r="M21" s="19"/>
    </row>
    <row r="22" spans="1:13" ht="30" customHeight="1">
      <c r="A22" s="130">
        <v>456</v>
      </c>
      <c r="B22" s="131">
        <f>ROUND($A22*'調薪俸點'!$D$4,0)</f>
        <v>65710</v>
      </c>
      <c r="C22" s="3">
        <f t="shared" si="0"/>
        <v>21</v>
      </c>
      <c r="D22" s="124">
        <f t="shared" si="1"/>
        <v>45800</v>
      </c>
      <c r="E22" s="124">
        <f t="shared" si="2"/>
        <v>3937</v>
      </c>
      <c r="F22" s="124">
        <f t="shared" si="3"/>
        <v>66800</v>
      </c>
      <c r="G22" s="124">
        <f t="shared" si="4"/>
        <v>3253</v>
      </c>
      <c r="H22" s="4">
        <f t="shared" si="5"/>
        <v>174</v>
      </c>
      <c r="I22" s="124">
        <f t="shared" si="6"/>
        <v>3427</v>
      </c>
      <c r="J22" s="124">
        <f t="shared" si="7"/>
        <v>7364</v>
      </c>
      <c r="K22" s="124">
        <f t="shared" si="8"/>
        <v>4008</v>
      </c>
      <c r="L22" s="19"/>
      <c r="M22" s="19"/>
    </row>
    <row r="23" spans="1:13" ht="27.75" customHeight="1">
      <c r="A23" s="130">
        <v>472</v>
      </c>
      <c r="B23" s="131">
        <f>ROUND($A23*'調薪俸點'!$D$4,0)</f>
        <v>68015</v>
      </c>
      <c r="C23" s="3">
        <f t="shared" si="0"/>
        <v>22</v>
      </c>
      <c r="D23" s="124">
        <f t="shared" si="1"/>
        <v>45800</v>
      </c>
      <c r="E23" s="124">
        <f t="shared" si="2"/>
        <v>3937</v>
      </c>
      <c r="F23" s="124">
        <f t="shared" si="3"/>
        <v>69800</v>
      </c>
      <c r="G23" s="124">
        <f t="shared" si="4"/>
        <v>3399</v>
      </c>
      <c r="H23" s="4">
        <f t="shared" si="5"/>
        <v>180</v>
      </c>
      <c r="I23" s="124">
        <f t="shared" si="6"/>
        <v>3579</v>
      </c>
      <c r="J23" s="124">
        <f t="shared" si="7"/>
        <v>7516</v>
      </c>
      <c r="K23" s="124">
        <f t="shared" si="8"/>
        <v>4188</v>
      </c>
      <c r="L23" s="19"/>
      <c r="M23" s="19"/>
    </row>
    <row r="24" spans="1:13" ht="21.75" customHeight="1">
      <c r="A24" s="132"/>
      <c r="B24" s="133"/>
      <c r="C24" s="133"/>
      <c r="D24" s="133"/>
      <c r="E24" s="134"/>
      <c r="F24" s="133"/>
      <c r="G24" s="133"/>
      <c r="H24" s="133"/>
      <c r="I24" s="133"/>
      <c r="J24" s="133"/>
      <c r="K24" s="133"/>
      <c r="L24" s="19"/>
      <c r="M24" s="19"/>
    </row>
  </sheetData>
  <sheetProtection/>
  <printOptions horizontalCentered="1"/>
  <pageMargins left="0" right="0" top="0.3937007874015748" bottom="0.3937007874015748" header="0" footer="0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75" zoomScalePageLayoutView="0" workbookViewId="0" topLeftCell="A4">
      <selection activeCell="M46" sqref="M46"/>
    </sheetView>
  </sheetViews>
  <sheetFormatPr defaultColWidth="9.00390625" defaultRowHeight="16.5"/>
  <cols>
    <col min="1" max="1" width="5.625" style="24" customWidth="1"/>
    <col min="2" max="2" width="10.625" style="25" customWidth="1"/>
    <col min="3" max="3" width="9.625" style="1" bestFit="1" customWidth="1"/>
    <col min="4" max="4" width="9.00390625" style="1" customWidth="1"/>
    <col min="5" max="5" width="9.75390625" style="1" bestFit="1" customWidth="1"/>
    <col min="6" max="8" width="9.125" style="1" bestFit="1" customWidth="1"/>
    <col min="9" max="9" width="5.625" style="24" hidden="1" customWidth="1"/>
    <col min="10" max="10" width="16.625" style="1" bestFit="1" customWidth="1"/>
    <col min="11" max="11" width="10.375" style="20" hidden="1" customWidth="1"/>
    <col min="12" max="12" width="9.00390625" style="20" hidden="1" customWidth="1"/>
    <col min="13" max="13" width="9.00390625" style="20" customWidth="1"/>
    <col min="14" max="14" width="26.125" style="20" customWidth="1"/>
    <col min="15" max="15" width="15.00390625" style="20" customWidth="1"/>
    <col min="16" max="16" width="13.875" style="20" customWidth="1"/>
    <col min="17" max="16384" width="9.00390625" style="20" customWidth="1"/>
  </cols>
  <sheetData>
    <row r="1" spans="1:10" ht="40.5" customHeight="1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5" ht="20.25" customHeight="1">
      <c r="A2" s="175" t="s">
        <v>11</v>
      </c>
      <c r="B2" s="177" t="s">
        <v>20</v>
      </c>
      <c r="C2" s="178" t="s">
        <v>21</v>
      </c>
      <c r="D2" s="178"/>
      <c r="E2" s="179" t="s">
        <v>22</v>
      </c>
      <c r="F2" s="179"/>
      <c r="G2" s="180" t="s">
        <v>23</v>
      </c>
      <c r="H2" s="180"/>
      <c r="I2" s="175" t="s">
        <v>11</v>
      </c>
      <c r="J2" s="179" t="s">
        <v>24</v>
      </c>
      <c r="K2" s="21" t="s">
        <v>10</v>
      </c>
      <c r="L2" s="22">
        <v>0.105</v>
      </c>
      <c r="N2" s="20" t="s">
        <v>17</v>
      </c>
      <c r="O2" s="26">
        <v>0.0211</v>
      </c>
    </row>
    <row r="3" spans="1:15" ht="20.25" customHeight="1">
      <c r="A3" s="176"/>
      <c r="B3" s="177"/>
      <c r="C3" s="28" t="s">
        <v>25</v>
      </c>
      <c r="D3" s="28" t="s">
        <v>26</v>
      </c>
      <c r="E3" s="28" t="s">
        <v>25</v>
      </c>
      <c r="F3" s="28" t="s">
        <v>26</v>
      </c>
      <c r="G3" s="28" t="s">
        <v>25</v>
      </c>
      <c r="H3" s="28" t="s">
        <v>26</v>
      </c>
      <c r="I3" s="176"/>
      <c r="J3" s="179"/>
      <c r="K3" s="21" t="s">
        <v>27</v>
      </c>
      <c r="L3" s="22">
        <v>0.01</v>
      </c>
      <c r="N3" s="20" t="s">
        <v>19</v>
      </c>
      <c r="O3" s="26">
        <v>0.0017</v>
      </c>
    </row>
    <row r="4" spans="1:16" ht="16.5">
      <c r="A4" s="117">
        <v>1</v>
      </c>
      <c r="B4" s="118">
        <v>26400</v>
      </c>
      <c r="C4" s="119">
        <v>634</v>
      </c>
      <c r="D4" s="118">
        <v>2218</v>
      </c>
      <c r="E4" s="119">
        <v>409</v>
      </c>
      <c r="F4" s="118">
        <v>1286</v>
      </c>
      <c r="G4" s="118">
        <v>1043</v>
      </c>
      <c r="H4" s="118">
        <v>3504</v>
      </c>
      <c r="I4" s="117">
        <v>1</v>
      </c>
      <c r="J4" s="120" t="s">
        <v>159</v>
      </c>
      <c r="K4" s="21" t="s">
        <v>28</v>
      </c>
      <c r="L4" s="22">
        <v>0.0517</v>
      </c>
      <c r="N4" s="20" t="s">
        <v>18</v>
      </c>
      <c r="O4" s="27">
        <v>0.00025</v>
      </c>
      <c r="P4" s="22"/>
    </row>
    <row r="5" spans="1:16" ht="16.5">
      <c r="A5" s="117">
        <v>2</v>
      </c>
      <c r="B5" s="118">
        <v>27600</v>
      </c>
      <c r="C5" s="119">
        <v>662</v>
      </c>
      <c r="D5" s="118">
        <v>2318</v>
      </c>
      <c r="E5" s="119">
        <v>428</v>
      </c>
      <c r="F5" s="118">
        <v>1344</v>
      </c>
      <c r="G5" s="118">
        <v>1090</v>
      </c>
      <c r="H5" s="118">
        <v>3662</v>
      </c>
      <c r="I5" s="117">
        <v>2</v>
      </c>
      <c r="J5" s="120" t="s">
        <v>159</v>
      </c>
      <c r="K5" s="21" t="s">
        <v>29</v>
      </c>
      <c r="L5" s="22">
        <v>0.0517</v>
      </c>
      <c r="O5" s="22"/>
      <c r="P5" s="22"/>
    </row>
    <row r="6" spans="1:16" ht="16.5">
      <c r="A6" s="117">
        <v>3</v>
      </c>
      <c r="B6" s="118">
        <v>28800</v>
      </c>
      <c r="C6" s="119">
        <v>692</v>
      </c>
      <c r="D6" s="118">
        <v>2420</v>
      </c>
      <c r="E6" s="119">
        <v>447</v>
      </c>
      <c r="F6" s="118">
        <v>1403</v>
      </c>
      <c r="G6" s="118">
        <v>1139</v>
      </c>
      <c r="H6" s="118">
        <v>3823</v>
      </c>
      <c r="I6" s="117">
        <v>3</v>
      </c>
      <c r="J6" s="120" t="s">
        <v>159</v>
      </c>
      <c r="O6" s="121"/>
      <c r="P6" s="121"/>
    </row>
    <row r="7" spans="1:12" ht="16.5">
      <c r="A7" s="117">
        <v>4</v>
      </c>
      <c r="B7" s="118">
        <v>30300</v>
      </c>
      <c r="C7" s="119">
        <v>728</v>
      </c>
      <c r="D7" s="118">
        <v>2545</v>
      </c>
      <c r="E7" s="119">
        <v>470</v>
      </c>
      <c r="F7" s="118">
        <v>1476</v>
      </c>
      <c r="G7" s="118">
        <v>1198</v>
      </c>
      <c r="H7" s="118">
        <v>4021</v>
      </c>
      <c r="I7" s="117">
        <v>4</v>
      </c>
      <c r="J7" s="120" t="s">
        <v>159</v>
      </c>
      <c r="L7" s="23"/>
    </row>
    <row r="8" spans="1:10" ht="16.5">
      <c r="A8" s="117">
        <v>5</v>
      </c>
      <c r="B8" s="118">
        <v>31800</v>
      </c>
      <c r="C8" s="119">
        <v>764</v>
      </c>
      <c r="D8" s="118">
        <v>2672</v>
      </c>
      <c r="E8" s="119">
        <v>493</v>
      </c>
      <c r="F8" s="118">
        <v>1549</v>
      </c>
      <c r="G8" s="118">
        <v>1257</v>
      </c>
      <c r="H8" s="118">
        <v>4221</v>
      </c>
      <c r="I8" s="117">
        <v>5</v>
      </c>
      <c r="J8" s="120" t="s">
        <v>159</v>
      </c>
    </row>
    <row r="9" spans="1:10" ht="16.5">
      <c r="A9" s="117">
        <v>6</v>
      </c>
      <c r="B9" s="118">
        <v>33300</v>
      </c>
      <c r="C9" s="119">
        <v>800</v>
      </c>
      <c r="D9" s="118">
        <v>2797</v>
      </c>
      <c r="E9" s="119">
        <v>516</v>
      </c>
      <c r="F9" s="118">
        <v>1622</v>
      </c>
      <c r="G9" s="118">
        <v>1316</v>
      </c>
      <c r="H9" s="118">
        <v>4419</v>
      </c>
      <c r="I9" s="117">
        <v>6</v>
      </c>
      <c r="J9" s="120" t="s">
        <v>159</v>
      </c>
    </row>
    <row r="10" spans="1:10" ht="16.5">
      <c r="A10" s="117">
        <v>7</v>
      </c>
      <c r="B10" s="118">
        <v>34800</v>
      </c>
      <c r="C10" s="119">
        <v>836</v>
      </c>
      <c r="D10" s="118">
        <v>2924</v>
      </c>
      <c r="E10" s="119">
        <v>540</v>
      </c>
      <c r="F10" s="118">
        <v>1695</v>
      </c>
      <c r="G10" s="118">
        <v>1376</v>
      </c>
      <c r="H10" s="118">
        <v>4619</v>
      </c>
      <c r="I10" s="117">
        <v>7</v>
      </c>
      <c r="J10" s="120" t="s">
        <v>159</v>
      </c>
    </row>
    <row r="11" spans="1:10" ht="16.5">
      <c r="A11" s="117">
        <v>8</v>
      </c>
      <c r="B11" s="118">
        <v>36300</v>
      </c>
      <c r="C11" s="119">
        <v>872</v>
      </c>
      <c r="D11" s="118">
        <v>3049</v>
      </c>
      <c r="E11" s="119">
        <v>563</v>
      </c>
      <c r="F11" s="118">
        <v>1768</v>
      </c>
      <c r="G11" s="118">
        <v>1435</v>
      </c>
      <c r="H11" s="118">
        <v>4817</v>
      </c>
      <c r="I11" s="117">
        <v>8</v>
      </c>
      <c r="J11" s="120" t="s">
        <v>159</v>
      </c>
    </row>
    <row r="12" spans="1:10" ht="16.5">
      <c r="A12" s="117">
        <v>9</v>
      </c>
      <c r="B12" s="118">
        <v>38200</v>
      </c>
      <c r="C12" s="119">
        <v>916</v>
      </c>
      <c r="D12" s="118">
        <v>3208</v>
      </c>
      <c r="E12" s="119">
        <v>592</v>
      </c>
      <c r="F12" s="118">
        <v>1860</v>
      </c>
      <c r="G12" s="118">
        <v>1508</v>
      </c>
      <c r="H12" s="118">
        <v>5068</v>
      </c>
      <c r="I12" s="117">
        <v>9</v>
      </c>
      <c r="J12" s="120" t="s">
        <v>159</v>
      </c>
    </row>
    <row r="13" spans="1:10" ht="16.5">
      <c r="A13" s="117">
        <v>10</v>
      </c>
      <c r="B13" s="118">
        <v>40100</v>
      </c>
      <c r="C13" s="119">
        <v>962</v>
      </c>
      <c r="D13" s="118">
        <v>3369</v>
      </c>
      <c r="E13" s="119">
        <v>622</v>
      </c>
      <c r="F13" s="118">
        <v>1953</v>
      </c>
      <c r="G13" s="118">
        <v>1584</v>
      </c>
      <c r="H13" s="118">
        <v>5322</v>
      </c>
      <c r="I13" s="117">
        <v>10</v>
      </c>
      <c r="J13" s="120" t="s">
        <v>159</v>
      </c>
    </row>
    <row r="14" spans="1:10" ht="16.5">
      <c r="A14" s="117">
        <v>11</v>
      </c>
      <c r="B14" s="118">
        <v>42000</v>
      </c>
      <c r="C14" s="118">
        <v>1008</v>
      </c>
      <c r="D14" s="118">
        <v>3528</v>
      </c>
      <c r="E14" s="119">
        <v>651</v>
      </c>
      <c r="F14" s="118">
        <v>2045</v>
      </c>
      <c r="G14" s="118">
        <v>1659</v>
      </c>
      <c r="H14" s="118">
        <v>5573</v>
      </c>
      <c r="I14" s="117">
        <v>11</v>
      </c>
      <c r="J14" s="120" t="s">
        <v>159</v>
      </c>
    </row>
    <row r="15" spans="1:10" ht="16.5">
      <c r="A15" s="117">
        <v>12</v>
      </c>
      <c r="B15" s="118">
        <v>43900</v>
      </c>
      <c r="C15" s="118">
        <v>1054</v>
      </c>
      <c r="D15" s="118">
        <v>3687</v>
      </c>
      <c r="E15" s="119">
        <v>681</v>
      </c>
      <c r="F15" s="118">
        <v>2138</v>
      </c>
      <c r="G15" s="118">
        <v>1735</v>
      </c>
      <c r="H15" s="118">
        <v>5825</v>
      </c>
      <c r="I15" s="117">
        <v>12</v>
      </c>
      <c r="J15" s="120" t="s">
        <v>159</v>
      </c>
    </row>
    <row r="16" spans="1:10" ht="16.5">
      <c r="A16" s="117">
        <v>13</v>
      </c>
      <c r="B16" s="118">
        <v>45800</v>
      </c>
      <c r="C16" s="118">
        <v>1100</v>
      </c>
      <c r="D16" s="118">
        <v>3848</v>
      </c>
      <c r="E16" s="119">
        <v>710</v>
      </c>
      <c r="F16" s="118">
        <v>2231</v>
      </c>
      <c r="G16" s="118">
        <v>1810</v>
      </c>
      <c r="H16" s="118">
        <v>6079</v>
      </c>
      <c r="I16" s="117">
        <v>13</v>
      </c>
      <c r="J16" s="120" t="s">
        <v>159</v>
      </c>
    </row>
    <row r="17" spans="1:10" ht="16.5">
      <c r="A17" s="117">
        <v>14</v>
      </c>
      <c r="B17" s="118">
        <v>48200</v>
      </c>
      <c r="C17" s="118">
        <v>1100</v>
      </c>
      <c r="D17" s="118">
        <v>3848</v>
      </c>
      <c r="E17" s="119">
        <v>748</v>
      </c>
      <c r="F17" s="118">
        <v>2347</v>
      </c>
      <c r="G17" s="118">
        <v>1848</v>
      </c>
      <c r="H17" s="118">
        <v>6195</v>
      </c>
      <c r="I17" s="117">
        <v>14</v>
      </c>
      <c r="J17" s="120" t="s">
        <v>159</v>
      </c>
    </row>
    <row r="18" spans="1:10" ht="16.5">
      <c r="A18" s="117">
        <v>15</v>
      </c>
      <c r="B18" s="118">
        <v>50600</v>
      </c>
      <c r="C18" s="118">
        <v>1100</v>
      </c>
      <c r="D18" s="118">
        <v>3848</v>
      </c>
      <c r="E18" s="119">
        <v>785</v>
      </c>
      <c r="F18" s="118">
        <v>2464</v>
      </c>
      <c r="G18" s="118">
        <v>1885</v>
      </c>
      <c r="H18" s="118">
        <v>6312</v>
      </c>
      <c r="I18" s="117">
        <v>15</v>
      </c>
      <c r="J18" s="120" t="s">
        <v>159</v>
      </c>
    </row>
    <row r="19" spans="1:10" ht="16.5">
      <c r="A19" s="117">
        <v>16</v>
      </c>
      <c r="B19" s="118">
        <v>53000</v>
      </c>
      <c r="C19" s="118">
        <v>1100</v>
      </c>
      <c r="D19" s="118">
        <v>3848</v>
      </c>
      <c r="E19" s="119">
        <v>822</v>
      </c>
      <c r="F19" s="118">
        <v>2581</v>
      </c>
      <c r="G19" s="118">
        <v>1922</v>
      </c>
      <c r="H19" s="118">
        <v>6429</v>
      </c>
      <c r="I19" s="117">
        <v>16</v>
      </c>
      <c r="J19" s="120" t="s">
        <v>159</v>
      </c>
    </row>
    <row r="20" spans="1:10" ht="16.5">
      <c r="A20" s="117">
        <v>17</v>
      </c>
      <c r="B20" s="118">
        <v>55400</v>
      </c>
      <c r="C20" s="118">
        <v>1100</v>
      </c>
      <c r="D20" s="118">
        <v>3848</v>
      </c>
      <c r="E20" s="119">
        <v>859</v>
      </c>
      <c r="F20" s="118">
        <v>2698</v>
      </c>
      <c r="G20" s="118">
        <v>1959</v>
      </c>
      <c r="H20" s="118">
        <v>6546</v>
      </c>
      <c r="I20" s="117">
        <v>17</v>
      </c>
      <c r="J20" s="120" t="s">
        <v>159</v>
      </c>
    </row>
    <row r="21" spans="1:10" ht="16.5">
      <c r="A21" s="117">
        <v>18</v>
      </c>
      <c r="B21" s="118">
        <v>57800</v>
      </c>
      <c r="C21" s="118">
        <v>1100</v>
      </c>
      <c r="D21" s="118">
        <v>3848</v>
      </c>
      <c r="E21" s="119">
        <v>896</v>
      </c>
      <c r="F21" s="118">
        <v>2815</v>
      </c>
      <c r="G21" s="118">
        <v>1996</v>
      </c>
      <c r="H21" s="118">
        <v>6663</v>
      </c>
      <c r="I21" s="117">
        <v>18</v>
      </c>
      <c r="J21" s="120" t="s">
        <v>159</v>
      </c>
    </row>
    <row r="22" spans="1:10" ht="16.5">
      <c r="A22" s="117">
        <v>19</v>
      </c>
      <c r="B22" s="118">
        <v>60800</v>
      </c>
      <c r="C22" s="118">
        <v>1100</v>
      </c>
      <c r="D22" s="118">
        <v>3848</v>
      </c>
      <c r="E22" s="119">
        <v>943</v>
      </c>
      <c r="F22" s="118">
        <v>2961</v>
      </c>
      <c r="G22" s="118">
        <v>2043</v>
      </c>
      <c r="H22" s="118">
        <v>6809</v>
      </c>
      <c r="I22" s="117">
        <v>19</v>
      </c>
      <c r="J22" s="120" t="s">
        <v>159</v>
      </c>
    </row>
    <row r="23" spans="1:10" ht="16.5">
      <c r="A23" s="117">
        <v>20</v>
      </c>
      <c r="B23" s="118">
        <v>63800</v>
      </c>
      <c r="C23" s="118">
        <v>1100</v>
      </c>
      <c r="D23" s="118">
        <v>3848</v>
      </c>
      <c r="E23" s="119">
        <v>990</v>
      </c>
      <c r="F23" s="118">
        <v>3107</v>
      </c>
      <c r="G23" s="118">
        <v>2090</v>
      </c>
      <c r="H23" s="118">
        <v>6955</v>
      </c>
      <c r="I23" s="117">
        <v>20</v>
      </c>
      <c r="J23" s="120" t="s">
        <v>159</v>
      </c>
    </row>
    <row r="24" spans="1:10" ht="16.5">
      <c r="A24" s="117">
        <v>21</v>
      </c>
      <c r="B24" s="118">
        <v>66800</v>
      </c>
      <c r="C24" s="118">
        <v>1100</v>
      </c>
      <c r="D24" s="118">
        <v>3848</v>
      </c>
      <c r="E24" s="118">
        <v>1036</v>
      </c>
      <c r="F24" s="118">
        <v>3253</v>
      </c>
      <c r="G24" s="118">
        <v>2136</v>
      </c>
      <c r="H24" s="118">
        <v>7101</v>
      </c>
      <c r="I24" s="117">
        <v>21</v>
      </c>
      <c r="J24" s="120" t="s">
        <v>159</v>
      </c>
    </row>
    <row r="25" spans="1:10" ht="16.5">
      <c r="A25" s="117">
        <v>22</v>
      </c>
      <c r="B25" s="118">
        <v>69800</v>
      </c>
      <c r="C25" s="118">
        <v>1100</v>
      </c>
      <c r="D25" s="118">
        <v>3848</v>
      </c>
      <c r="E25" s="118">
        <v>1083</v>
      </c>
      <c r="F25" s="118">
        <v>3399</v>
      </c>
      <c r="G25" s="118">
        <v>2183</v>
      </c>
      <c r="H25" s="118">
        <v>7247</v>
      </c>
      <c r="I25" s="117">
        <v>22</v>
      </c>
      <c r="J25" s="120" t="s">
        <v>159</v>
      </c>
    </row>
    <row r="26" spans="1:10" ht="16.5">
      <c r="A26" s="117">
        <v>23</v>
      </c>
      <c r="B26" s="118">
        <v>72800</v>
      </c>
      <c r="C26" s="118">
        <v>1100</v>
      </c>
      <c r="D26" s="118">
        <v>3848</v>
      </c>
      <c r="E26" s="118">
        <v>1129</v>
      </c>
      <c r="F26" s="118">
        <v>3545</v>
      </c>
      <c r="G26" s="118">
        <v>2229</v>
      </c>
      <c r="H26" s="118">
        <v>7393</v>
      </c>
      <c r="I26" s="117">
        <v>23</v>
      </c>
      <c r="J26" s="120" t="s">
        <v>159</v>
      </c>
    </row>
    <row r="27" spans="1:10" ht="16.5">
      <c r="A27" s="117">
        <v>24</v>
      </c>
      <c r="B27" s="118">
        <v>76500</v>
      </c>
      <c r="C27" s="118">
        <v>1100</v>
      </c>
      <c r="D27" s="118">
        <v>3848</v>
      </c>
      <c r="E27" s="118">
        <v>1187</v>
      </c>
      <c r="F27" s="118">
        <v>3726</v>
      </c>
      <c r="G27" s="118">
        <v>2287</v>
      </c>
      <c r="H27" s="118">
        <v>7574</v>
      </c>
      <c r="I27" s="117">
        <v>24</v>
      </c>
      <c r="J27" s="120" t="s">
        <v>159</v>
      </c>
    </row>
    <row r="28" spans="1:10" ht="16.5">
      <c r="A28" s="117">
        <v>25</v>
      </c>
      <c r="B28" s="118">
        <v>80200</v>
      </c>
      <c r="C28" s="118">
        <v>1100</v>
      </c>
      <c r="D28" s="118">
        <v>3848</v>
      </c>
      <c r="E28" s="118">
        <v>1244</v>
      </c>
      <c r="F28" s="118">
        <v>3906</v>
      </c>
      <c r="G28" s="118">
        <v>2344</v>
      </c>
      <c r="H28" s="118">
        <v>7754</v>
      </c>
      <c r="I28" s="117">
        <v>25</v>
      </c>
      <c r="J28" s="120" t="s">
        <v>159</v>
      </c>
    </row>
    <row r="29" spans="1:10" ht="16.5">
      <c r="A29" s="117">
        <v>26</v>
      </c>
      <c r="B29" s="118">
        <v>83900</v>
      </c>
      <c r="C29" s="118">
        <v>1100</v>
      </c>
      <c r="D29" s="118">
        <v>3848</v>
      </c>
      <c r="E29" s="118">
        <v>1301</v>
      </c>
      <c r="F29" s="118">
        <v>4086</v>
      </c>
      <c r="G29" s="118">
        <v>2401</v>
      </c>
      <c r="H29" s="118">
        <v>7934</v>
      </c>
      <c r="I29" s="117">
        <v>26</v>
      </c>
      <c r="J29" s="120" t="s">
        <v>159</v>
      </c>
    </row>
    <row r="30" spans="1:10" ht="16.5">
      <c r="A30" s="117">
        <v>27</v>
      </c>
      <c r="B30" s="118">
        <v>87600</v>
      </c>
      <c r="C30" s="118">
        <v>1100</v>
      </c>
      <c r="D30" s="118">
        <v>3848</v>
      </c>
      <c r="E30" s="118">
        <v>1359</v>
      </c>
      <c r="F30" s="118">
        <v>4266</v>
      </c>
      <c r="G30" s="118">
        <v>2459</v>
      </c>
      <c r="H30" s="118">
        <v>8114</v>
      </c>
      <c r="I30" s="117">
        <v>27</v>
      </c>
      <c r="J30" s="120" t="s">
        <v>159</v>
      </c>
    </row>
    <row r="31" spans="1:10" ht="16.5">
      <c r="A31" s="117">
        <v>28</v>
      </c>
      <c r="B31" s="118">
        <v>92100</v>
      </c>
      <c r="C31" s="118">
        <v>1100</v>
      </c>
      <c r="D31" s="118">
        <v>3848</v>
      </c>
      <c r="E31" s="118">
        <v>1428</v>
      </c>
      <c r="F31" s="118">
        <v>4485</v>
      </c>
      <c r="G31" s="118">
        <v>2528</v>
      </c>
      <c r="H31" s="118">
        <v>8333</v>
      </c>
      <c r="I31" s="117">
        <v>28</v>
      </c>
      <c r="J31" s="120" t="s">
        <v>159</v>
      </c>
    </row>
    <row r="32" spans="1:10" ht="16.5">
      <c r="A32" s="117">
        <v>29</v>
      </c>
      <c r="B32" s="118">
        <v>96600</v>
      </c>
      <c r="C32" s="118">
        <v>1100</v>
      </c>
      <c r="D32" s="118">
        <v>3848</v>
      </c>
      <c r="E32" s="118">
        <v>1498</v>
      </c>
      <c r="F32" s="118">
        <v>4705</v>
      </c>
      <c r="G32" s="118">
        <v>2598</v>
      </c>
      <c r="H32" s="118">
        <v>8553</v>
      </c>
      <c r="I32" s="117">
        <v>29</v>
      </c>
      <c r="J32" s="120" t="s">
        <v>159</v>
      </c>
    </row>
    <row r="33" spans="1:10" ht="16.5">
      <c r="A33" s="117">
        <v>30</v>
      </c>
      <c r="B33" s="118">
        <v>101100</v>
      </c>
      <c r="C33" s="118">
        <v>1100</v>
      </c>
      <c r="D33" s="118">
        <v>3848</v>
      </c>
      <c r="E33" s="118">
        <v>1568</v>
      </c>
      <c r="F33" s="118">
        <v>4924</v>
      </c>
      <c r="G33" s="118">
        <v>2668</v>
      </c>
      <c r="H33" s="118">
        <v>8772</v>
      </c>
      <c r="I33" s="117">
        <v>30</v>
      </c>
      <c r="J33" s="120" t="s">
        <v>159</v>
      </c>
    </row>
    <row r="34" spans="1:10" ht="16.5">
      <c r="A34" s="117">
        <v>31</v>
      </c>
      <c r="B34" s="118">
        <v>105600</v>
      </c>
      <c r="C34" s="118">
        <v>1100</v>
      </c>
      <c r="D34" s="118">
        <v>3848</v>
      </c>
      <c r="E34" s="118">
        <v>1638</v>
      </c>
      <c r="F34" s="118">
        <v>5143</v>
      </c>
      <c r="G34" s="118">
        <v>2738</v>
      </c>
      <c r="H34" s="118">
        <v>8991</v>
      </c>
      <c r="I34" s="117">
        <v>31</v>
      </c>
      <c r="J34" s="120" t="s">
        <v>159</v>
      </c>
    </row>
    <row r="35" spans="1:10" ht="16.5">
      <c r="A35" s="117">
        <v>32</v>
      </c>
      <c r="B35" s="118">
        <v>110100</v>
      </c>
      <c r="C35" s="118">
        <v>1100</v>
      </c>
      <c r="D35" s="118">
        <v>3848</v>
      </c>
      <c r="E35" s="118">
        <v>1708</v>
      </c>
      <c r="F35" s="118">
        <v>5362</v>
      </c>
      <c r="G35" s="118">
        <v>2808</v>
      </c>
      <c r="H35" s="118">
        <v>9210</v>
      </c>
      <c r="I35" s="117">
        <v>32</v>
      </c>
      <c r="J35" s="120" t="s">
        <v>159</v>
      </c>
    </row>
    <row r="36" spans="1:10" ht="16.5">
      <c r="A36" s="117">
        <v>33</v>
      </c>
      <c r="B36" s="118">
        <v>115500</v>
      </c>
      <c r="C36" s="118">
        <v>1100</v>
      </c>
      <c r="D36" s="118">
        <v>3848</v>
      </c>
      <c r="E36" s="118">
        <v>1791</v>
      </c>
      <c r="F36" s="118">
        <v>5625</v>
      </c>
      <c r="G36" s="118">
        <v>2891</v>
      </c>
      <c r="H36" s="118">
        <v>9473</v>
      </c>
      <c r="I36" s="117">
        <v>33</v>
      </c>
      <c r="J36" s="120" t="s">
        <v>159</v>
      </c>
    </row>
    <row r="37" spans="1:10" ht="16.5">
      <c r="A37" s="117">
        <v>34</v>
      </c>
      <c r="B37" s="118">
        <v>120900</v>
      </c>
      <c r="C37" s="118">
        <v>1100</v>
      </c>
      <c r="D37" s="118">
        <v>3848</v>
      </c>
      <c r="E37" s="118">
        <v>1875</v>
      </c>
      <c r="F37" s="118">
        <v>5888</v>
      </c>
      <c r="G37" s="118">
        <v>2975</v>
      </c>
      <c r="H37" s="118">
        <v>9736</v>
      </c>
      <c r="I37" s="117">
        <v>34</v>
      </c>
      <c r="J37" s="120" t="s">
        <v>159</v>
      </c>
    </row>
    <row r="38" spans="1:10" ht="16.5">
      <c r="A38" s="117">
        <v>35</v>
      </c>
      <c r="B38" s="118">
        <v>126300</v>
      </c>
      <c r="C38" s="118">
        <v>1100</v>
      </c>
      <c r="D38" s="118">
        <v>3848</v>
      </c>
      <c r="E38" s="118">
        <v>1959</v>
      </c>
      <c r="F38" s="118">
        <v>6151</v>
      </c>
      <c r="G38" s="118">
        <v>3059</v>
      </c>
      <c r="H38" s="118">
        <v>9999</v>
      </c>
      <c r="I38" s="117">
        <v>35</v>
      </c>
      <c r="J38" s="120" t="s">
        <v>159</v>
      </c>
    </row>
    <row r="39" spans="1:10" ht="16.5">
      <c r="A39" s="117">
        <v>36</v>
      </c>
      <c r="B39" s="118">
        <v>131700</v>
      </c>
      <c r="C39" s="118">
        <v>1100</v>
      </c>
      <c r="D39" s="118">
        <v>3848</v>
      </c>
      <c r="E39" s="118">
        <v>2043</v>
      </c>
      <c r="F39" s="118">
        <v>6414</v>
      </c>
      <c r="G39" s="118">
        <v>3143</v>
      </c>
      <c r="H39" s="118">
        <v>10262</v>
      </c>
      <c r="I39" s="117">
        <v>36</v>
      </c>
      <c r="J39" s="120" t="s">
        <v>159</v>
      </c>
    </row>
    <row r="40" spans="1:10" ht="16.5">
      <c r="A40" s="117">
        <v>37</v>
      </c>
      <c r="B40" s="118">
        <v>137100</v>
      </c>
      <c r="C40" s="118">
        <v>1100</v>
      </c>
      <c r="D40" s="118">
        <v>3848</v>
      </c>
      <c r="E40" s="118">
        <v>2126</v>
      </c>
      <c r="F40" s="118">
        <v>6677</v>
      </c>
      <c r="G40" s="118">
        <v>3226</v>
      </c>
      <c r="H40" s="118">
        <v>10525</v>
      </c>
      <c r="I40" s="117">
        <v>37</v>
      </c>
      <c r="J40" s="120" t="s">
        <v>159</v>
      </c>
    </row>
    <row r="41" spans="1:10" ht="16.5">
      <c r="A41" s="117">
        <v>38</v>
      </c>
      <c r="B41" s="118">
        <v>142500</v>
      </c>
      <c r="C41" s="118">
        <v>1100</v>
      </c>
      <c r="D41" s="118">
        <v>3848</v>
      </c>
      <c r="E41" s="118">
        <v>2210</v>
      </c>
      <c r="F41" s="118">
        <v>6940</v>
      </c>
      <c r="G41" s="118">
        <v>3310</v>
      </c>
      <c r="H41" s="118">
        <v>10788</v>
      </c>
      <c r="I41" s="117">
        <v>38</v>
      </c>
      <c r="J41" s="120" t="s">
        <v>159</v>
      </c>
    </row>
    <row r="42" spans="1:10" ht="16.5">
      <c r="A42" s="117">
        <v>39</v>
      </c>
      <c r="B42" s="118">
        <v>147900</v>
      </c>
      <c r="C42" s="118">
        <v>1100</v>
      </c>
      <c r="D42" s="118">
        <v>3848</v>
      </c>
      <c r="E42" s="118">
        <v>2294</v>
      </c>
      <c r="F42" s="118">
        <v>7203</v>
      </c>
      <c r="G42" s="118">
        <v>3394</v>
      </c>
      <c r="H42" s="118">
        <v>11051</v>
      </c>
      <c r="I42" s="117">
        <v>39</v>
      </c>
      <c r="J42" s="120" t="s">
        <v>159</v>
      </c>
    </row>
    <row r="43" spans="1:10" ht="16.5">
      <c r="A43" s="117">
        <v>40</v>
      </c>
      <c r="B43" s="118">
        <v>150000</v>
      </c>
      <c r="C43" s="118">
        <v>1100</v>
      </c>
      <c r="D43" s="118">
        <v>3848</v>
      </c>
      <c r="E43" s="118">
        <v>2327</v>
      </c>
      <c r="F43" s="118">
        <v>7305</v>
      </c>
      <c r="G43" s="118">
        <v>3427</v>
      </c>
      <c r="H43" s="118">
        <v>11153</v>
      </c>
      <c r="I43" s="117">
        <v>40</v>
      </c>
      <c r="J43" s="120" t="s">
        <v>159</v>
      </c>
    </row>
    <row r="44" spans="1:10" ht="16.5">
      <c r="A44" s="117">
        <v>41</v>
      </c>
      <c r="B44" s="118">
        <v>156400</v>
      </c>
      <c r="C44" s="118">
        <v>1100</v>
      </c>
      <c r="D44" s="118">
        <v>3848</v>
      </c>
      <c r="E44" s="118">
        <v>2426</v>
      </c>
      <c r="F44" s="118">
        <v>7617</v>
      </c>
      <c r="G44" s="118">
        <v>3526</v>
      </c>
      <c r="H44" s="118">
        <v>11465</v>
      </c>
      <c r="I44" s="117">
        <v>41</v>
      </c>
      <c r="J44" s="120" t="s">
        <v>159</v>
      </c>
    </row>
    <row r="45" spans="1:10" ht="16.5">
      <c r="A45" s="117">
        <v>42</v>
      </c>
      <c r="B45" s="118">
        <v>162800</v>
      </c>
      <c r="C45" s="118">
        <v>1100</v>
      </c>
      <c r="D45" s="118">
        <v>3848</v>
      </c>
      <c r="E45" s="118">
        <v>2525</v>
      </c>
      <c r="F45" s="118">
        <v>7929</v>
      </c>
      <c r="G45" s="118">
        <v>3625</v>
      </c>
      <c r="H45" s="118">
        <v>11777</v>
      </c>
      <c r="I45" s="117">
        <v>42</v>
      </c>
      <c r="J45" s="120" t="s">
        <v>159</v>
      </c>
    </row>
    <row r="46" spans="1:10" ht="16.5">
      <c r="A46" s="117">
        <v>43</v>
      </c>
      <c r="B46" s="118">
        <v>169200</v>
      </c>
      <c r="C46" s="118">
        <v>1100</v>
      </c>
      <c r="D46" s="118">
        <v>3848</v>
      </c>
      <c r="E46" s="118">
        <v>2624</v>
      </c>
      <c r="F46" s="118">
        <v>8240</v>
      </c>
      <c r="G46" s="118">
        <v>3724</v>
      </c>
      <c r="H46" s="118">
        <v>12088</v>
      </c>
      <c r="I46" s="117">
        <v>43</v>
      </c>
      <c r="J46" s="120" t="s">
        <v>159</v>
      </c>
    </row>
    <row r="47" spans="1:10" ht="16.5">
      <c r="A47" s="117">
        <v>44</v>
      </c>
      <c r="B47" s="118">
        <v>175600</v>
      </c>
      <c r="C47" s="118">
        <v>1100</v>
      </c>
      <c r="D47" s="118">
        <v>3848</v>
      </c>
      <c r="E47" s="118">
        <v>2724</v>
      </c>
      <c r="F47" s="118">
        <v>8552</v>
      </c>
      <c r="G47" s="118">
        <v>3824</v>
      </c>
      <c r="H47" s="118">
        <v>12400</v>
      </c>
      <c r="I47" s="117">
        <v>44</v>
      </c>
      <c r="J47" s="120" t="s">
        <v>159</v>
      </c>
    </row>
    <row r="48" spans="1:10" ht="16.5">
      <c r="A48" s="117">
        <v>45</v>
      </c>
      <c r="B48" s="118">
        <v>182000</v>
      </c>
      <c r="C48" s="118">
        <v>1100</v>
      </c>
      <c r="D48" s="118">
        <v>3848</v>
      </c>
      <c r="E48" s="118">
        <v>2823</v>
      </c>
      <c r="F48" s="118">
        <v>8864</v>
      </c>
      <c r="G48" s="118">
        <v>3923</v>
      </c>
      <c r="H48" s="118">
        <v>12712</v>
      </c>
      <c r="I48" s="117">
        <v>45</v>
      </c>
      <c r="J48" s="120" t="s">
        <v>159</v>
      </c>
    </row>
    <row r="49" spans="1:10" ht="16.5">
      <c r="A49" s="117">
        <v>46</v>
      </c>
      <c r="B49" s="118">
        <v>189500</v>
      </c>
      <c r="C49" s="118">
        <v>1100</v>
      </c>
      <c r="D49" s="118">
        <v>3848</v>
      </c>
      <c r="E49" s="118">
        <v>2939</v>
      </c>
      <c r="F49" s="118">
        <v>9229</v>
      </c>
      <c r="G49" s="118">
        <v>4039</v>
      </c>
      <c r="H49" s="118">
        <v>13077</v>
      </c>
      <c r="I49" s="117">
        <v>46</v>
      </c>
      <c r="J49" s="120" t="s">
        <v>159</v>
      </c>
    </row>
    <row r="50" spans="1:10" ht="16.5">
      <c r="A50" s="117">
        <v>47</v>
      </c>
      <c r="B50" s="118">
        <v>197000</v>
      </c>
      <c r="C50" s="118">
        <v>1100</v>
      </c>
      <c r="D50" s="118">
        <v>3848</v>
      </c>
      <c r="E50" s="118">
        <v>3055</v>
      </c>
      <c r="F50" s="118">
        <v>9594</v>
      </c>
      <c r="G50" s="118">
        <v>4155</v>
      </c>
      <c r="H50" s="118">
        <v>13442</v>
      </c>
      <c r="I50" s="117">
        <v>47</v>
      </c>
      <c r="J50" s="120" t="s">
        <v>159</v>
      </c>
    </row>
    <row r="51" spans="1:10" ht="16.5">
      <c r="A51" s="117">
        <v>48</v>
      </c>
      <c r="B51" s="118">
        <v>204500</v>
      </c>
      <c r="C51" s="118">
        <v>1100</v>
      </c>
      <c r="D51" s="118">
        <v>3848</v>
      </c>
      <c r="E51" s="118">
        <v>3172</v>
      </c>
      <c r="F51" s="118">
        <v>9959</v>
      </c>
      <c r="G51" s="118">
        <v>4272</v>
      </c>
      <c r="H51" s="118">
        <v>13807</v>
      </c>
      <c r="I51" s="117">
        <v>48</v>
      </c>
      <c r="J51" s="120" t="s">
        <v>159</v>
      </c>
    </row>
    <row r="52" spans="1:10" ht="16.5">
      <c r="A52" s="117">
        <v>49</v>
      </c>
      <c r="B52" s="118">
        <v>212000</v>
      </c>
      <c r="C52" s="118">
        <v>1100</v>
      </c>
      <c r="D52" s="118">
        <v>3848</v>
      </c>
      <c r="E52" s="118">
        <v>3288</v>
      </c>
      <c r="F52" s="118">
        <v>10325</v>
      </c>
      <c r="G52" s="118">
        <v>4388</v>
      </c>
      <c r="H52" s="118">
        <v>14173</v>
      </c>
      <c r="I52" s="117">
        <v>49</v>
      </c>
      <c r="J52" s="120" t="s">
        <v>159</v>
      </c>
    </row>
    <row r="53" spans="1:10" ht="16.5">
      <c r="A53" s="117">
        <v>50</v>
      </c>
      <c r="B53" s="118">
        <v>219500</v>
      </c>
      <c r="C53" s="118">
        <v>1100</v>
      </c>
      <c r="D53" s="118">
        <v>3848</v>
      </c>
      <c r="E53" s="118">
        <v>3404</v>
      </c>
      <c r="F53" s="118">
        <v>10690</v>
      </c>
      <c r="G53" s="118">
        <v>4504</v>
      </c>
      <c r="H53" s="118">
        <v>14538</v>
      </c>
      <c r="I53" s="117">
        <v>50</v>
      </c>
      <c r="J53" s="120" t="s">
        <v>159</v>
      </c>
    </row>
    <row r="54" spans="1:10" ht="16.5">
      <c r="A54" s="181" t="s">
        <v>30</v>
      </c>
      <c r="B54" s="183" t="s">
        <v>31</v>
      </c>
      <c r="C54" s="183"/>
      <c r="D54" s="183"/>
      <c r="E54" s="183"/>
      <c r="F54" s="183"/>
      <c r="G54" s="183"/>
      <c r="H54" s="183"/>
      <c r="I54" s="183"/>
      <c r="J54" s="183"/>
    </row>
    <row r="55" spans="1:10" ht="37.5" customHeight="1">
      <c r="A55" s="181"/>
      <c r="B55" s="183" t="s">
        <v>32</v>
      </c>
      <c r="C55" s="183"/>
      <c r="D55" s="183"/>
      <c r="E55" s="183"/>
      <c r="F55" s="183"/>
      <c r="G55" s="183"/>
      <c r="H55" s="183"/>
      <c r="I55" s="183"/>
      <c r="J55" s="183"/>
    </row>
    <row r="56" spans="1:10" ht="20.25" customHeight="1">
      <c r="A56" s="181"/>
      <c r="B56" s="184" t="s">
        <v>33</v>
      </c>
      <c r="C56" s="184"/>
      <c r="D56" s="184"/>
      <c r="E56" s="184"/>
      <c r="F56" s="184"/>
      <c r="G56" s="184"/>
      <c r="H56" s="184"/>
      <c r="I56" s="184"/>
      <c r="J56" s="184"/>
    </row>
    <row r="57" spans="1:10" ht="60" customHeight="1">
      <c r="A57" s="181"/>
      <c r="B57" s="183" t="s">
        <v>34</v>
      </c>
      <c r="C57" s="183"/>
      <c r="D57" s="183"/>
      <c r="E57" s="183"/>
      <c r="F57" s="183"/>
      <c r="G57" s="183"/>
      <c r="H57" s="183"/>
      <c r="I57" s="183"/>
      <c r="J57" s="183"/>
    </row>
    <row r="58" spans="1:10" ht="42.75" customHeight="1">
      <c r="A58" s="181"/>
      <c r="B58" s="183" t="s">
        <v>160</v>
      </c>
      <c r="C58" s="183"/>
      <c r="D58" s="183"/>
      <c r="E58" s="183"/>
      <c r="F58" s="183"/>
      <c r="G58" s="183"/>
      <c r="H58" s="183"/>
      <c r="I58" s="183"/>
      <c r="J58" s="183"/>
    </row>
    <row r="59" spans="1:10" ht="16.5">
      <c r="A59" s="181"/>
      <c r="B59" s="183" t="s">
        <v>161</v>
      </c>
      <c r="C59" s="183"/>
      <c r="D59" s="183"/>
      <c r="E59" s="183"/>
      <c r="F59" s="183"/>
      <c r="G59" s="183"/>
      <c r="H59" s="183"/>
      <c r="I59" s="183"/>
      <c r="J59" s="183"/>
    </row>
    <row r="60" spans="1:10" ht="16.5">
      <c r="A60" s="181"/>
      <c r="B60" s="183" t="s">
        <v>162</v>
      </c>
      <c r="C60" s="183"/>
      <c r="D60" s="183"/>
      <c r="E60" s="183"/>
      <c r="F60" s="183"/>
      <c r="G60" s="183"/>
      <c r="H60" s="183"/>
      <c r="I60" s="183"/>
      <c r="J60" s="183"/>
    </row>
    <row r="61" spans="1:10" ht="42" customHeight="1">
      <c r="A61" s="181"/>
      <c r="B61" s="173" t="s">
        <v>163</v>
      </c>
      <c r="C61" s="173"/>
      <c r="D61" s="173"/>
      <c r="E61" s="173"/>
      <c r="F61" s="173"/>
      <c r="G61" s="173"/>
      <c r="H61" s="173"/>
      <c r="I61" s="173"/>
      <c r="J61" s="173"/>
    </row>
    <row r="62" spans="1:10" ht="16.5">
      <c r="A62" s="182"/>
      <c r="B62" s="173" t="s">
        <v>164</v>
      </c>
      <c r="C62" s="173"/>
      <c r="D62" s="173"/>
      <c r="E62" s="173"/>
      <c r="F62" s="173"/>
      <c r="G62" s="173"/>
      <c r="H62" s="173"/>
      <c r="I62" s="173"/>
      <c r="J62" s="173"/>
    </row>
  </sheetData>
  <sheetProtection/>
  <mergeCells count="18">
    <mergeCell ref="B59:J59"/>
    <mergeCell ref="B60:J60"/>
    <mergeCell ref="J2:J3"/>
    <mergeCell ref="I2:I3"/>
    <mergeCell ref="B54:J54"/>
    <mergeCell ref="B55:J55"/>
    <mergeCell ref="B56:J56"/>
    <mergeCell ref="B57:J57"/>
    <mergeCell ref="B61:J61"/>
    <mergeCell ref="B62:J62"/>
    <mergeCell ref="A1:J1"/>
    <mergeCell ref="A2:A3"/>
    <mergeCell ref="B2:B3"/>
    <mergeCell ref="C2:D2"/>
    <mergeCell ref="E2:F2"/>
    <mergeCell ref="G2:H2"/>
    <mergeCell ref="A54:A62"/>
    <mergeCell ref="B58:J58"/>
  </mergeCells>
  <printOptions horizontalCentered="1"/>
  <pageMargins left="0.48" right="0.36" top="0.3937007874015748" bottom="0.3937007874015748" header="0.5118110236220472" footer="0.5118110236220472"/>
  <pageSetup blackAndWhite="1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user</cp:lastModifiedBy>
  <cp:lastPrinted>2021-05-18T01:54:00Z</cp:lastPrinted>
  <dcterms:created xsi:type="dcterms:W3CDTF">2004-09-11T06:32:15Z</dcterms:created>
  <dcterms:modified xsi:type="dcterms:W3CDTF">2023-06-15T09:31:02Z</dcterms:modified>
  <cp:category/>
  <cp:version/>
  <cp:contentType/>
  <cp:contentStatus/>
</cp:coreProperties>
</file>